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FY2020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Summary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34" r:id="rId10"/>
    <sheet name="Improvement Allocation" sheetId="35" r:id="rId11"/>
    <sheet name="Research" sheetId="13" r:id="rId12"/>
    <sheet name="Revenue Offset" sheetId="25" r:id="rId13"/>
  </sheets>
  <externalReferences>
    <externalReference r:id="rId14"/>
    <externalReference r:id="rId15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Instruction!$A$1:$M$43</definedName>
    <definedName name="_xlnm.Print_Area" localSheetId="2">Summary!$B$1:$W$41</definedName>
    <definedName name="_xlnm.Print_Titles" localSheetId="0">'FY2015 Detail'!$B:$C</definedName>
    <definedName name="_xlnm.Print_Titles" localSheetId="2">Summary!$B:$C</definedName>
    <definedName name="vv" localSheetId="6">#REF!</definedName>
    <definedName name="vv">#REF!</definedName>
  </definedNames>
  <calcPr calcId="162913"/>
</workbook>
</file>

<file path=xl/calcChain.xml><?xml version="1.0" encoding="utf-8"?>
<calcChain xmlns="http://schemas.openxmlformats.org/spreadsheetml/2006/main">
  <c r="O41" i="24" l="1"/>
  <c r="G8" i="25" l="1"/>
  <c r="J19" i="17" l="1"/>
  <c r="J18" i="17"/>
  <c r="J17" i="17"/>
  <c r="J16" i="17"/>
  <c r="J15" i="17"/>
  <c r="J13" i="17"/>
  <c r="J12" i="17"/>
  <c r="J11" i="17"/>
  <c r="J10" i="17"/>
  <c r="J9" i="17"/>
  <c r="J8" i="17"/>
  <c r="V11" i="24" l="1"/>
  <c r="V8" i="24"/>
  <c r="V7" i="24"/>
  <c r="J37" i="17" l="1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4" i="17"/>
  <c r="H33" i="24" l="1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4" i="24"/>
  <c r="H35" i="24"/>
  <c r="C33" i="17" l="1"/>
  <c r="C30" i="17"/>
  <c r="C27" i="17"/>
  <c r="C23" i="17"/>
  <c r="C11" i="17"/>
  <c r="C8" i="17"/>
  <c r="C31" i="17"/>
  <c r="I17" i="17" l="1"/>
  <c r="O39" i="17" l="1"/>
  <c r="I37" i="17" l="1"/>
  <c r="C37" i="17"/>
  <c r="I35" i="17"/>
  <c r="C35" i="17"/>
  <c r="C34" i="17"/>
  <c r="I22" i="17"/>
  <c r="C22" i="17"/>
  <c r="C17" i="17"/>
  <c r="C21" i="17"/>
  <c r="C10" i="17"/>
  <c r="C36" i="17"/>
  <c r="C32" i="17"/>
  <c r="C29" i="17"/>
  <c r="C28" i="17"/>
  <c r="C26" i="17"/>
  <c r="C25" i="17"/>
  <c r="C24" i="17"/>
  <c r="C20" i="17"/>
  <c r="C19" i="17"/>
  <c r="C18" i="17"/>
  <c r="C16" i="17"/>
  <c r="C15" i="17"/>
  <c r="C14" i="17"/>
  <c r="C13" i="17"/>
  <c r="C12" i="17"/>
  <c r="C9" i="17"/>
  <c r="D39" i="17" l="1"/>
  <c r="J46" i="34" l="1"/>
  <c r="J45" i="34"/>
  <c r="J44" i="34"/>
  <c r="J43" i="34"/>
  <c r="J42" i="34"/>
  <c r="J41" i="34"/>
  <c r="J40" i="34"/>
  <c r="J39" i="34"/>
  <c r="J38" i="34"/>
  <c r="J22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H7" i="35"/>
  <c r="G14" i="26" l="1"/>
  <c r="G11" i="26"/>
  <c r="G10" i="26"/>
  <c r="D27" i="13" l="1"/>
  <c r="C27" i="13"/>
  <c r="C34" i="15"/>
  <c r="C24" i="15"/>
  <c r="D39" i="25" l="1"/>
  <c r="O39" i="24" l="1"/>
  <c r="N15" i="24" s="1"/>
  <c r="P31" i="26"/>
  <c r="P27" i="26"/>
  <c r="P24" i="26"/>
  <c r="P21" i="26"/>
  <c r="U37" i="24"/>
  <c r="C16" i="15"/>
  <c r="D40" i="13"/>
  <c r="C36" i="27"/>
  <c r="C35" i="27"/>
  <c r="C34" i="27"/>
  <c r="C33" i="27"/>
  <c r="C29" i="27"/>
  <c r="C28" i="27"/>
  <c r="C27" i="27"/>
  <c r="C26" i="27"/>
  <c r="C25" i="27"/>
  <c r="C21" i="27"/>
  <c r="C20" i="27"/>
  <c r="C18" i="27"/>
  <c r="C17" i="27"/>
  <c r="C16" i="27"/>
  <c r="C12" i="27"/>
  <c r="C9" i="27"/>
  <c r="E46" i="35"/>
  <c r="E45" i="35"/>
  <c r="E44" i="35"/>
  <c r="G44" i="35" s="1"/>
  <c r="H44" i="35" s="1"/>
  <c r="D36" i="27" s="1"/>
  <c r="E36" i="27" s="1"/>
  <c r="E43" i="35"/>
  <c r="G43" i="35" s="1"/>
  <c r="H43" i="35" s="1"/>
  <c r="D33" i="27" s="1"/>
  <c r="E42" i="35"/>
  <c r="G42" i="35"/>
  <c r="H42" i="35" s="1"/>
  <c r="D34" i="27" s="1"/>
  <c r="E41" i="35"/>
  <c r="G41" i="35"/>
  <c r="H41" i="35" s="1"/>
  <c r="D20" i="27" s="1"/>
  <c r="E40" i="35"/>
  <c r="G40" i="35" s="1"/>
  <c r="H40" i="35" s="1"/>
  <c r="D21" i="27" s="1"/>
  <c r="E39" i="35"/>
  <c r="G39" i="35" s="1"/>
  <c r="H39" i="35" s="1"/>
  <c r="D16" i="27" s="1"/>
  <c r="E16" i="27" s="1"/>
  <c r="E38" i="35"/>
  <c r="G38" i="35"/>
  <c r="H38" i="35" s="1"/>
  <c r="E37" i="35"/>
  <c r="E36" i="35"/>
  <c r="G36" i="35" s="1"/>
  <c r="H36" i="35" s="1"/>
  <c r="D32" i="27" s="1"/>
  <c r="E35" i="35"/>
  <c r="G35" i="35" s="1"/>
  <c r="H35" i="35" s="1"/>
  <c r="D31" i="27" s="1"/>
  <c r="E34" i="35"/>
  <c r="G34" i="35"/>
  <c r="H34" i="35" s="1"/>
  <c r="D35" i="27" s="1"/>
  <c r="E33" i="35"/>
  <c r="G33" i="35" s="1"/>
  <c r="H33" i="35" s="1"/>
  <c r="D30" i="27" s="1"/>
  <c r="E32" i="35"/>
  <c r="G32" i="35" s="1"/>
  <c r="H32" i="35" s="1"/>
  <c r="D29" i="27" s="1"/>
  <c r="E31" i="35"/>
  <c r="G31" i="35" s="1"/>
  <c r="H31" i="35" s="1"/>
  <c r="D28" i="27" s="1"/>
  <c r="E30" i="35"/>
  <c r="G30" i="35"/>
  <c r="H30" i="35" s="1"/>
  <c r="D27" i="27" s="1"/>
  <c r="E29" i="35"/>
  <c r="G29" i="35" s="1"/>
  <c r="H29" i="35" s="1"/>
  <c r="E28" i="35"/>
  <c r="G28" i="35"/>
  <c r="E27" i="35"/>
  <c r="G27" i="35" s="1"/>
  <c r="H27" i="35" s="1"/>
  <c r="E26" i="35"/>
  <c r="G26" i="35" s="1"/>
  <c r="H26" i="35" s="1"/>
  <c r="E25" i="35"/>
  <c r="G25" i="35" s="1"/>
  <c r="H25" i="35" s="1"/>
  <c r="E24" i="35"/>
  <c r="G24" i="35"/>
  <c r="E23" i="35"/>
  <c r="G23" i="35" s="1"/>
  <c r="E22" i="35"/>
  <c r="E21" i="35"/>
  <c r="G21" i="35" s="1"/>
  <c r="H21" i="35" s="1"/>
  <c r="D24" i="27" s="1"/>
  <c r="E20" i="35"/>
  <c r="G20" i="35"/>
  <c r="H20" i="35" s="1"/>
  <c r="D23" i="27" s="1"/>
  <c r="E19" i="35"/>
  <c r="G19" i="35" s="1"/>
  <c r="H19" i="35" s="1"/>
  <c r="D22" i="27" s="1"/>
  <c r="E18" i="35"/>
  <c r="G18" i="35" s="1"/>
  <c r="H18" i="35" s="1"/>
  <c r="D19" i="27" s="1"/>
  <c r="E17" i="35"/>
  <c r="G17" i="35" s="1"/>
  <c r="H17" i="35" s="1"/>
  <c r="D18" i="27" s="1"/>
  <c r="E16" i="35"/>
  <c r="G16" i="35"/>
  <c r="E15" i="35"/>
  <c r="G15" i="35" s="1"/>
  <c r="H15" i="35" s="1"/>
  <c r="D15" i="27" s="1"/>
  <c r="E14" i="35"/>
  <c r="G14" i="35" s="1"/>
  <c r="H14" i="35" s="1"/>
  <c r="E13" i="35"/>
  <c r="G13" i="35"/>
  <c r="H13" i="35" s="1"/>
  <c r="D14" i="27" s="1"/>
  <c r="E12" i="35"/>
  <c r="G12" i="35"/>
  <c r="G11" i="35"/>
  <c r="H11" i="35" s="1"/>
  <c r="E11" i="35"/>
  <c r="E10" i="35"/>
  <c r="G10" i="35" s="1"/>
  <c r="H10" i="35" s="1"/>
  <c r="D11" i="27" s="1"/>
  <c r="E9" i="35"/>
  <c r="G9" i="35"/>
  <c r="H9" i="35" s="1"/>
  <c r="D10" i="27" s="1"/>
  <c r="E8" i="35"/>
  <c r="G8" i="35"/>
  <c r="H8" i="35" s="1"/>
  <c r="G7" i="35"/>
  <c r="E7" i="35"/>
  <c r="E6" i="35"/>
  <c r="G6" i="35"/>
  <c r="H6" i="35" s="1"/>
  <c r="C32" i="27"/>
  <c r="C31" i="27"/>
  <c r="C30" i="27"/>
  <c r="C23" i="27"/>
  <c r="C22" i="27"/>
  <c r="C19" i="27"/>
  <c r="C15" i="27"/>
  <c r="C13" i="27"/>
  <c r="C11" i="27"/>
  <c r="C8" i="27"/>
  <c r="C7" i="27"/>
  <c r="H28" i="35"/>
  <c r="D26" i="27" s="1"/>
  <c r="H16" i="35"/>
  <c r="D17" i="27" s="1"/>
  <c r="H24" i="35"/>
  <c r="H12" i="35"/>
  <c r="D13" i="27" s="1"/>
  <c r="I37" i="34"/>
  <c r="C10" i="27"/>
  <c r="C14" i="27"/>
  <c r="C24" i="27"/>
  <c r="J37" i="34"/>
  <c r="C30" i="15"/>
  <c r="C28" i="15"/>
  <c r="C21" i="15"/>
  <c r="C12" i="15"/>
  <c r="B37" i="31"/>
  <c r="K6" i="31"/>
  <c r="W37" i="24"/>
  <c r="L8" i="15"/>
  <c r="L6" i="27"/>
  <c r="L8" i="13"/>
  <c r="G47" i="31"/>
  <c r="F47" i="31"/>
  <c r="E47" i="31"/>
  <c r="D47" i="31"/>
  <c r="C47" i="31"/>
  <c r="B47" i="31"/>
  <c r="K46" i="31"/>
  <c r="H46" i="31"/>
  <c r="J46" i="31" s="1"/>
  <c r="L46" i="31" s="1"/>
  <c r="M46" i="31" s="1"/>
  <c r="K45" i="31"/>
  <c r="H45" i="31"/>
  <c r="J45" i="31"/>
  <c r="K44" i="31"/>
  <c r="H44" i="31"/>
  <c r="J44" i="31" s="1"/>
  <c r="K43" i="31"/>
  <c r="H43" i="31"/>
  <c r="J43" i="31" s="1"/>
  <c r="L43" i="31" s="1"/>
  <c r="M43" i="31" s="1"/>
  <c r="K42" i="31"/>
  <c r="H42" i="31"/>
  <c r="J42" i="31"/>
  <c r="L42" i="31" s="1"/>
  <c r="M42" i="31" s="1"/>
  <c r="K41" i="31"/>
  <c r="H41" i="31"/>
  <c r="J41" i="31" s="1"/>
  <c r="K40" i="31"/>
  <c r="H40" i="31"/>
  <c r="J40" i="31" s="1"/>
  <c r="L40" i="31" s="1"/>
  <c r="M40" i="31" s="1"/>
  <c r="G37" i="31"/>
  <c r="F37" i="31"/>
  <c r="E37" i="31"/>
  <c r="E48" i="31" s="1"/>
  <c r="D37" i="31"/>
  <c r="C37" i="31"/>
  <c r="K36" i="31"/>
  <c r="H36" i="31"/>
  <c r="J36" i="31" s="1"/>
  <c r="K35" i="31"/>
  <c r="H35" i="31"/>
  <c r="J35" i="31"/>
  <c r="K34" i="31"/>
  <c r="H34" i="31"/>
  <c r="J34" i="31" s="1"/>
  <c r="L34" i="31" s="1"/>
  <c r="M34" i="31" s="1"/>
  <c r="K33" i="31"/>
  <c r="H33" i="31"/>
  <c r="J33" i="31" s="1"/>
  <c r="K32" i="31"/>
  <c r="H32" i="31"/>
  <c r="J32" i="31" s="1"/>
  <c r="L32" i="31" s="1"/>
  <c r="M32" i="31" s="1"/>
  <c r="K31" i="31"/>
  <c r="H31" i="31"/>
  <c r="J31" i="31" s="1"/>
  <c r="K30" i="31"/>
  <c r="H30" i="31"/>
  <c r="J30" i="31" s="1"/>
  <c r="L30" i="31" s="1"/>
  <c r="M30" i="31" s="1"/>
  <c r="K29" i="31"/>
  <c r="H29" i="31"/>
  <c r="J29" i="31"/>
  <c r="L29" i="31" s="1"/>
  <c r="M29" i="31" s="1"/>
  <c r="K28" i="31"/>
  <c r="H28" i="31"/>
  <c r="J28" i="31" s="1"/>
  <c r="L28" i="31" s="1"/>
  <c r="M28" i="31" s="1"/>
  <c r="K27" i="31"/>
  <c r="H27" i="31"/>
  <c r="J27" i="31" s="1"/>
  <c r="L27" i="31" s="1"/>
  <c r="M27" i="31" s="1"/>
  <c r="K26" i="31"/>
  <c r="H26" i="31"/>
  <c r="J26" i="31"/>
  <c r="L26" i="31" s="1"/>
  <c r="M26" i="31" s="1"/>
  <c r="K25" i="31"/>
  <c r="H25" i="31"/>
  <c r="J25" i="31" s="1"/>
  <c r="L25" i="31" s="1"/>
  <c r="M25" i="31" s="1"/>
  <c r="K24" i="31"/>
  <c r="H24" i="31"/>
  <c r="J24" i="31" s="1"/>
  <c r="K23" i="31"/>
  <c r="H23" i="31"/>
  <c r="J23" i="31"/>
  <c r="L23" i="31" s="1"/>
  <c r="M23" i="31" s="1"/>
  <c r="K22" i="31"/>
  <c r="H22" i="31"/>
  <c r="J22" i="31" s="1"/>
  <c r="L22" i="31" s="1"/>
  <c r="M22" i="31" s="1"/>
  <c r="K21" i="31"/>
  <c r="H21" i="31"/>
  <c r="J21" i="31"/>
  <c r="K20" i="31"/>
  <c r="H20" i="31"/>
  <c r="J20" i="31"/>
  <c r="L20" i="31" s="1"/>
  <c r="M20" i="31" s="1"/>
  <c r="K19" i="31"/>
  <c r="H19" i="31"/>
  <c r="J19" i="31" s="1"/>
  <c r="L19" i="31" s="1"/>
  <c r="M19" i="31" s="1"/>
  <c r="K18" i="31"/>
  <c r="H18" i="31"/>
  <c r="J18" i="31"/>
  <c r="K17" i="31"/>
  <c r="H17" i="31"/>
  <c r="J17" i="31"/>
  <c r="L17" i="31" s="1"/>
  <c r="M17" i="31" s="1"/>
  <c r="K16" i="31"/>
  <c r="H16" i="31"/>
  <c r="J16" i="31" s="1"/>
  <c r="L16" i="31" s="1"/>
  <c r="M16" i="31" s="1"/>
  <c r="K15" i="31"/>
  <c r="H15" i="31"/>
  <c r="J15" i="31" s="1"/>
  <c r="K14" i="31"/>
  <c r="H14" i="31"/>
  <c r="J14" i="31" s="1"/>
  <c r="K13" i="31"/>
  <c r="H13" i="31"/>
  <c r="J13" i="31" s="1"/>
  <c r="L13" i="31" s="1"/>
  <c r="M13" i="31" s="1"/>
  <c r="K12" i="31"/>
  <c r="H12" i="31"/>
  <c r="J12" i="31" s="1"/>
  <c r="L12" i="31" s="1"/>
  <c r="M12" i="31" s="1"/>
  <c r="K11" i="31"/>
  <c r="H11" i="31"/>
  <c r="J11" i="31" s="1"/>
  <c r="L11" i="31" s="1"/>
  <c r="M11" i="31" s="1"/>
  <c r="K10" i="31"/>
  <c r="H10" i="31"/>
  <c r="J10" i="31"/>
  <c r="K9" i="31"/>
  <c r="H9" i="31"/>
  <c r="J9" i="31"/>
  <c r="L9" i="31" s="1"/>
  <c r="M9" i="31" s="1"/>
  <c r="K8" i="31"/>
  <c r="H8" i="31"/>
  <c r="J8" i="31" s="1"/>
  <c r="L8" i="31" s="1"/>
  <c r="M8" i="31" s="1"/>
  <c r="K7" i="31"/>
  <c r="H7" i="31"/>
  <c r="J7" i="31"/>
  <c r="L7" i="31" s="1"/>
  <c r="M7" i="31" s="1"/>
  <c r="H6" i="31"/>
  <c r="J6" i="31" s="1"/>
  <c r="C31" i="15"/>
  <c r="C27" i="15"/>
  <c r="C20" i="15"/>
  <c r="C14" i="15"/>
  <c r="C38" i="26"/>
  <c r="F38" i="26" s="1"/>
  <c r="C37" i="26"/>
  <c r="F37" i="26" s="1"/>
  <c r="C36" i="26"/>
  <c r="F36" i="26" s="1"/>
  <c r="C35" i="26"/>
  <c r="F35" i="26" s="1"/>
  <c r="C34" i="26"/>
  <c r="F34" i="26"/>
  <c r="C33" i="26"/>
  <c r="F33" i="26" s="1"/>
  <c r="C32" i="26"/>
  <c r="F32" i="26" s="1"/>
  <c r="C31" i="26"/>
  <c r="F31" i="26" s="1"/>
  <c r="C30" i="26"/>
  <c r="F30" i="26" s="1"/>
  <c r="C29" i="26"/>
  <c r="F29" i="26" s="1"/>
  <c r="C28" i="26"/>
  <c r="F28" i="26" s="1"/>
  <c r="C27" i="26"/>
  <c r="F27" i="26" s="1"/>
  <c r="C26" i="26"/>
  <c r="F26" i="26" s="1"/>
  <c r="C25" i="26"/>
  <c r="F25" i="26" s="1"/>
  <c r="C24" i="26"/>
  <c r="F24" i="26" s="1"/>
  <c r="K24" i="26" s="1"/>
  <c r="C23" i="26"/>
  <c r="F23" i="26" s="1"/>
  <c r="C22" i="26"/>
  <c r="F22" i="26" s="1"/>
  <c r="C21" i="26"/>
  <c r="F21" i="26" s="1"/>
  <c r="C20" i="26"/>
  <c r="F20" i="26" s="1"/>
  <c r="C19" i="26"/>
  <c r="F19" i="26" s="1"/>
  <c r="C18" i="26"/>
  <c r="F18" i="26" s="1"/>
  <c r="C17" i="26"/>
  <c r="F17" i="26" s="1"/>
  <c r="C16" i="26"/>
  <c r="F16" i="26" s="1"/>
  <c r="C15" i="26"/>
  <c r="F15" i="26" s="1"/>
  <c r="K15" i="26" s="1"/>
  <c r="C14" i="26"/>
  <c r="F14" i="26" s="1"/>
  <c r="K14" i="26" s="1"/>
  <c r="C13" i="26"/>
  <c r="F13" i="26" s="1"/>
  <c r="C12" i="26"/>
  <c r="F12" i="26" s="1"/>
  <c r="C11" i="26"/>
  <c r="F11" i="26" s="1"/>
  <c r="C10" i="26"/>
  <c r="F10" i="26" s="1"/>
  <c r="K10" i="26" s="1"/>
  <c r="C9" i="26"/>
  <c r="F9" i="26" s="1"/>
  <c r="N43" i="26"/>
  <c r="N42" i="26"/>
  <c r="R40" i="26"/>
  <c r="H40" i="26"/>
  <c r="D40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P10" i="26"/>
  <c r="J10" i="26"/>
  <c r="J9" i="26"/>
  <c r="P40" i="26"/>
  <c r="G40" i="26"/>
  <c r="F39" i="25"/>
  <c r="C39" i="25"/>
  <c r="E37" i="25"/>
  <c r="G37" i="25"/>
  <c r="G38" i="15" s="1"/>
  <c r="E36" i="25"/>
  <c r="G36" i="25" s="1"/>
  <c r="D36" i="20" s="1"/>
  <c r="E36" i="20" s="1"/>
  <c r="E35" i="25"/>
  <c r="G35" i="25" s="1"/>
  <c r="E34" i="25"/>
  <c r="G34" i="25"/>
  <c r="J34" i="25" s="1"/>
  <c r="E33" i="25"/>
  <c r="G33" i="25"/>
  <c r="J33" i="25" s="1"/>
  <c r="E32" i="25"/>
  <c r="G32" i="25" s="1"/>
  <c r="E31" i="25"/>
  <c r="G31" i="25" s="1"/>
  <c r="E30" i="25"/>
  <c r="G30" i="25"/>
  <c r="L31" i="26" s="1"/>
  <c r="E29" i="25"/>
  <c r="G29" i="25"/>
  <c r="D29" i="20" s="1"/>
  <c r="E29" i="20" s="1"/>
  <c r="E28" i="25"/>
  <c r="G28" i="25" s="1"/>
  <c r="E27" i="25"/>
  <c r="G27" i="25"/>
  <c r="L28" i="26" s="1"/>
  <c r="E26" i="25"/>
  <c r="G26" i="25" s="1"/>
  <c r="J26" i="25" s="1"/>
  <c r="E25" i="25"/>
  <c r="G25" i="25" s="1"/>
  <c r="E24" i="25"/>
  <c r="G24" i="25"/>
  <c r="D24" i="20" s="1"/>
  <c r="E24" i="20" s="1"/>
  <c r="E23" i="25"/>
  <c r="G23" i="25" s="1"/>
  <c r="E22" i="25"/>
  <c r="G22" i="25" s="1"/>
  <c r="E21" i="25"/>
  <c r="G21" i="25" s="1"/>
  <c r="L22" i="26" s="1"/>
  <c r="E20" i="25"/>
  <c r="G20" i="25"/>
  <c r="F21" i="13" s="1"/>
  <c r="E19" i="25"/>
  <c r="G19" i="25" s="1"/>
  <c r="E18" i="25"/>
  <c r="G18" i="25" s="1"/>
  <c r="E17" i="25"/>
  <c r="G17" i="25" s="1"/>
  <c r="E16" i="25"/>
  <c r="G16" i="25"/>
  <c r="D16" i="20" s="1"/>
  <c r="E16" i="20" s="1"/>
  <c r="E15" i="25"/>
  <c r="G15" i="25" s="1"/>
  <c r="D15" i="20" s="1"/>
  <c r="E15" i="20" s="1"/>
  <c r="E14" i="25"/>
  <c r="G14" i="25" s="1"/>
  <c r="E13" i="25"/>
  <c r="G13" i="25"/>
  <c r="G14" i="15" s="1"/>
  <c r="E12" i="25"/>
  <c r="G12" i="25"/>
  <c r="D12" i="20" s="1"/>
  <c r="E12" i="20" s="1"/>
  <c r="E11" i="25"/>
  <c r="G11" i="25" s="1"/>
  <c r="E10" i="25"/>
  <c r="E9" i="25"/>
  <c r="G9" i="25"/>
  <c r="D9" i="20" s="1"/>
  <c r="E9" i="20" s="1"/>
  <c r="E8" i="25"/>
  <c r="G13" i="15"/>
  <c r="G10" i="25"/>
  <c r="J10" i="25" s="1"/>
  <c r="C11" i="15"/>
  <c r="C10" i="15"/>
  <c r="F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C40" i="13"/>
  <c r="V37" i="24"/>
  <c r="D29" i="15"/>
  <c r="F29" i="15" s="1"/>
  <c r="D16" i="15"/>
  <c r="F16" i="15" s="1"/>
  <c r="F8" i="20"/>
  <c r="D37" i="24"/>
  <c r="L37" i="24"/>
  <c r="M37" i="24"/>
  <c r="D9" i="15"/>
  <c r="F9" i="15" s="1"/>
  <c r="D37" i="11"/>
  <c r="C39" i="20"/>
  <c r="F33" i="20"/>
  <c r="K26" i="17"/>
  <c r="M26" i="17" s="1"/>
  <c r="E24" i="24" s="1"/>
  <c r="K8" i="17"/>
  <c r="M8" i="17" s="1"/>
  <c r="E6" i="24" s="1"/>
  <c r="K9" i="17"/>
  <c r="M9" i="17" s="1"/>
  <c r="E7" i="24" s="1"/>
  <c r="K10" i="17"/>
  <c r="M10" i="17" s="1"/>
  <c r="E8" i="24" s="1"/>
  <c r="K11" i="17"/>
  <c r="M11" i="17" s="1"/>
  <c r="E9" i="24" s="1"/>
  <c r="K12" i="17"/>
  <c r="M12" i="17" s="1"/>
  <c r="E10" i="24" s="1"/>
  <c r="K13" i="17"/>
  <c r="M13" i="17" s="1"/>
  <c r="E11" i="24" s="1"/>
  <c r="K14" i="17"/>
  <c r="M14" i="17" s="1"/>
  <c r="E12" i="24" s="1"/>
  <c r="K15" i="17"/>
  <c r="M15" i="17"/>
  <c r="E13" i="24" s="1"/>
  <c r="K16" i="17"/>
  <c r="M16" i="17" s="1"/>
  <c r="E14" i="24" s="1"/>
  <c r="K17" i="17"/>
  <c r="M17" i="17" s="1"/>
  <c r="E15" i="24" s="1"/>
  <c r="K18" i="17"/>
  <c r="M18" i="17" s="1"/>
  <c r="E16" i="24" s="1"/>
  <c r="K19" i="17"/>
  <c r="M19" i="17" s="1"/>
  <c r="E17" i="24" s="1"/>
  <c r="K20" i="17"/>
  <c r="M20" i="17"/>
  <c r="E18" i="24" s="1"/>
  <c r="K23" i="17"/>
  <c r="M23" i="17" s="1"/>
  <c r="E21" i="24" s="1"/>
  <c r="K24" i="17"/>
  <c r="M24" i="17" s="1"/>
  <c r="E22" i="24" s="1"/>
  <c r="K25" i="17"/>
  <c r="M25" i="17" s="1"/>
  <c r="E23" i="24" s="1"/>
  <c r="K27" i="17"/>
  <c r="M27" i="17" s="1"/>
  <c r="E25" i="24" s="1"/>
  <c r="K28" i="17"/>
  <c r="M28" i="17" s="1"/>
  <c r="E26" i="24" s="1"/>
  <c r="K29" i="17"/>
  <c r="M29" i="17" s="1"/>
  <c r="E27" i="24" s="1"/>
  <c r="K30" i="17"/>
  <c r="M30" i="17" s="1"/>
  <c r="E28" i="24" s="1"/>
  <c r="K31" i="17"/>
  <c r="M31" i="17" s="1"/>
  <c r="E29" i="24" s="1"/>
  <c r="K32" i="17"/>
  <c r="M32" i="17" s="1"/>
  <c r="E30" i="24" s="1"/>
  <c r="K33" i="17"/>
  <c r="M33" i="17" s="1"/>
  <c r="E31" i="24" s="1"/>
  <c r="K34" i="17"/>
  <c r="M34" i="17" s="1"/>
  <c r="E32" i="24" s="1"/>
  <c r="K36" i="17"/>
  <c r="M36" i="17" s="1"/>
  <c r="E34" i="24" s="1"/>
  <c r="K37" i="17"/>
  <c r="M37" i="17" s="1"/>
  <c r="E35" i="24" s="1"/>
  <c r="K35" i="17"/>
  <c r="M35" i="17" s="1"/>
  <c r="E33" i="24" s="1"/>
  <c r="K22" i="17"/>
  <c r="M22" i="17" s="1"/>
  <c r="E20" i="24" s="1"/>
  <c r="K21" i="17"/>
  <c r="M21" i="17" s="1"/>
  <c r="E19" i="24" s="1"/>
  <c r="D10" i="15"/>
  <c r="F10" i="15" s="1"/>
  <c r="D13" i="15"/>
  <c r="F13" i="15" s="1"/>
  <c r="D14" i="15"/>
  <c r="F14" i="15" s="1"/>
  <c r="D19" i="15"/>
  <c r="F19" i="15" s="1"/>
  <c r="D21" i="15"/>
  <c r="F21" i="15" s="1"/>
  <c r="D22" i="15"/>
  <c r="F22" i="15" s="1"/>
  <c r="D23" i="15"/>
  <c r="F23" i="15" s="1"/>
  <c r="D24" i="15"/>
  <c r="F24" i="15" s="1"/>
  <c r="D27" i="15"/>
  <c r="F27" i="15" s="1"/>
  <c r="D28" i="15"/>
  <c r="F28" i="15" s="1"/>
  <c r="D31" i="15"/>
  <c r="F31" i="15" s="1"/>
  <c r="D36" i="15"/>
  <c r="F36" i="15" s="1"/>
  <c r="D38" i="15"/>
  <c r="F38" i="15" s="1"/>
  <c r="D11" i="15"/>
  <c r="F11" i="15" s="1"/>
  <c r="D12" i="15"/>
  <c r="F12" i="15" s="1"/>
  <c r="D15" i="15"/>
  <c r="F15" i="15" s="1"/>
  <c r="D17" i="15"/>
  <c r="F17" i="15" s="1"/>
  <c r="D18" i="15"/>
  <c r="F18" i="15" s="1"/>
  <c r="D25" i="15"/>
  <c r="F25" i="15" s="1"/>
  <c r="D26" i="15"/>
  <c r="F26" i="15" s="1"/>
  <c r="D30" i="15"/>
  <c r="F30" i="15" s="1"/>
  <c r="D32" i="15"/>
  <c r="F32" i="15" s="1"/>
  <c r="D33" i="15"/>
  <c r="F33" i="15" s="1"/>
  <c r="D35" i="15"/>
  <c r="F35" i="15" s="1"/>
  <c r="D37" i="15"/>
  <c r="F37" i="15" s="1"/>
  <c r="D20" i="15"/>
  <c r="F20" i="15" s="1"/>
  <c r="F37" i="20"/>
  <c r="F36" i="20"/>
  <c r="F35" i="20"/>
  <c r="F34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L39" i="17"/>
  <c r="D34" i="15"/>
  <c r="F34" i="15" s="1"/>
  <c r="A45" i="15"/>
  <c r="A42" i="20"/>
  <c r="A42" i="17"/>
  <c r="E40" i="15"/>
  <c r="C40" i="15"/>
  <c r="I39" i="17"/>
  <c r="H39" i="17"/>
  <c r="G39" i="17"/>
  <c r="F39" i="17"/>
  <c r="E39" i="17"/>
  <c r="C39" i="17"/>
  <c r="B15" i="32"/>
  <c r="C8" i="32"/>
  <c r="B5" i="32"/>
  <c r="C5" i="32"/>
  <c r="B8" i="32"/>
  <c r="B11" i="32"/>
  <c r="C11" i="32"/>
  <c r="B9" i="32"/>
  <c r="C9" i="32"/>
  <c r="B12" i="32"/>
  <c r="C12" i="32"/>
  <c r="B6" i="32"/>
  <c r="C6" i="32"/>
  <c r="F38" i="13" l="1"/>
  <c r="J37" i="25"/>
  <c r="F28" i="13"/>
  <c r="G28" i="15"/>
  <c r="H28" i="15" s="1"/>
  <c r="G25" i="24" s="1"/>
  <c r="J39" i="17"/>
  <c r="M39" i="17"/>
  <c r="K39" i="17"/>
  <c r="E35" i="27"/>
  <c r="E18" i="27"/>
  <c r="E34" i="27"/>
  <c r="E33" i="27"/>
  <c r="E21" i="27"/>
  <c r="E20" i="27"/>
  <c r="E31" i="27"/>
  <c r="E27" i="27"/>
  <c r="E28" i="27"/>
  <c r="E32" i="27"/>
  <c r="E26" i="27"/>
  <c r="E29" i="27"/>
  <c r="E30" i="27"/>
  <c r="C38" i="27"/>
  <c r="E19" i="27"/>
  <c r="E14" i="27"/>
  <c r="E10" i="27"/>
  <c r="E23" i="27"/>
  <c r="E13" i="27"/>
  <c r="E17" i="27"/>
  <c r="E11" i="27"/>
  <c r="E15" i="27"/>
  <c r="E24" i="27"/>
  <c r="E22" i="27"/>
  <c r="D12" i="27"/>
  <c r="E12" i="27" s="1"/>
  <c r="D7" i="27"/>
  <c r="D8" i="27"/>
  <c r="E8" i="27" s="1"/>
  <c r="H23" i="35"/>
  <c r="H22" i="35" s="1"/>
  <c r="D25" i="27" s="1"/>
  <c r="E25" i="27" s="1"/>
  <c r="G22" i="35"/>
  <c r="D9" i="27"/>
  <c r="E9" i="27" s="1"/>
  <c r="G37" i="35"/>
  <c r="G45" i="35"/>
  <c r="H45" i="35" s="1"/>
  <c r="K38" i="26"/>
  <c r="K33" i="26"/>
  <c r="K29" i="26"/>
  <c r="K28" i="26"/>
  <c r="K23" i="26"/>
  <c r="K13" i="26"/>
  <c r="G48" i="31"/>
  <c r="F48" i="31"/>
  <c r="L35" i="31"/>
  <c r="M35" i="31" s="1"/>
  <c r="L21" i="31"/>
  <c r="M21" i="31" s="1"/>
  <c r="L45" i="31"/>
  <c r="M45" i="31" s="1"/>
  <c r="L44" i="31"/>
  <c r="M44" i="31" s="1"/>
  <c r="H47" i="31"/>
  <c r="L41" i="31"/>
  <c r="M41" i="31" s="1"/>
  <c r="J47" i="31"/>
  <c r="D48" i="31"/>
  <c r="L36" i="31"/>
  <c r="M36" i="31" s="1"/>
  <c r="L33" i="31"/>
  <c r="M33" i="31" s="1"/>
  <c r="L31" i="31"/>
  <c r="M31" i="31" s="1"/>
  <c r="L24" i="31"/>
  <c r="M24" i="31" s="1"/>
  <c r="L18" i="31"/>
  <c r="M18" i="31" s="1"/>
  <c r="L15" i="31"/>
  <c r="M15" i="31" s="1"/>
  <c r="L14" i="31"/>
  <c r="M14" i="31" s="1"/>
  <c r="J37" i="31"/>
  <c r="L10" i="31"/>
  <c r="M10" i="31" s="1"/>
  <c r="H37" i="31"/>
  <c r="L6" i="31"/>
  <c r="M6" i="31" s="1"/>
  <c r="K47" i="31"/>
  <c r="C48" i="31"/>
  <c r="K37" i="31"/>
  <c r="K48" i="31" s="1"/>
  <c r="B48" i="31"/>
  <c r="H38" i="15"/>
  <c r="G35" i="24" s="1"/>
  <c r="H14" i="15"/>
  <c r="G11" i="24" s="1"/>
  <c r="H13" i="15"/>
  <c r="G10" i="24" s="1"/>
  <c r="G16" i="20"/>
  <c r="K17" i="26"/>
  <c r="G29" i="20"/>
  <c r="K12" i="26"/>
  <c r="N28" i="24"/>
  <c r="K20" i="26"/>
  <c r="K27" i="26"/>
  <c r="E37" i="24"/>
  <c r="K36" i="26"/>
  <c r="K35" i="26"/>
  <c r="K22" i="26"/>
  <c r="M22" i="26" s="1"/>
  <c r="Q22" i="26" s="1"/>
  <c r="S22" i="26" s="1"/>
  <c r="F19" i="24" s="1"/>
  <c r="K18" i="26"/>
  <c r="K11" i="26"/>
  <c r="K37" i="26"/>
  <c r="J40" i="26"/>
  <c r="K34" i="26"/>
  <c r="K30" i="26"/>
  <c r="K26" i="26"/>
  <c r="K31" i="26"/>
  <c r="M31" i="26" s="1"/>
  <c r="Q31" i="26" s="1"/>
  <c r="S31" i="26" s="1"/>
  <c r="F28" i="24" s="1"/>
  <c r="K25" i="26"/>
  <c r="K32" i="26"/>
  <c r="K19" i="26"/>
  <c r="K21" i="26"/>
  <c r="K16" i="26"/>
  <c r="H38" i="13"/>
  <c r="I35" i="24" s="1"/>
  <c r="H28" i="13"/>
  <c r="I25" i="24" s="1"/>
  <c r="E40" i="13"/>
  <c r="H21" i="13"/>
  <c r="I18" i="24" s="1"/>
  <c r="D40" i="15"/>
  <c r="F40" i="15"/>
  <c r="G36" i="20"/>
  <c r="M28" i="26"/>
  <c r="Q28" i="26" s="1"/>
  <c r="S28" i="26" s="1"/>
  <c r="F25" i="24" s="1"/>
  <c r="G24" i="20"/>
  <c r="G15" i="20"/>
  <c r="G12" i="20"/>
  <c r="F39" i="20"/>
  <c r="G9" i="20"/>
  <c r="F40" i="26"/>
  <c r="C40" i="26"/>
  <c r="K9" i="26"/>
  <c r="L37" i="26"/>
  <c r="G35" i="15"/>
  <c r="H35" i="15" s="1"/>
  <c r="G32" i="24" s="1"/>
  <c r="F35" i="13"/>
  <c r="H35" i="13" s="1"/>
  <c r="I32" i="24" s="1"/>
  <c r="D34" i="20"/>
  <c r="E34" i="20" s="1"/>
  <c r="G34" i="20" s="1"/>
  <c r="L35" i="26"/>
  <c r="D27" i="20"/>
  <c r="E27" i="20" s="1"/>
  <c r="G27" i="20" s="1"/>
  <c r="F17" i="13"/>
  <c r="H17" i="13" s="1"/>
  <c r="I14" i="24" s="1"/>
  <c r="L14" i="26"/>
  <c r="M14" i="26" s="1"/>
  <c r="Q14" i="26" s="1"/>
  <c r="S14" i="26" s="1"/>
  <c r="F11" i="24" s="1"/>
  <c r="F16" i="13"/>
  <c r="H16" i="13" s="1"/>
  <c r="I13" i="24" s="1"/>
  <c r="L38" i="26"/>
  <c r="J36" i="25"/>
  <c r="L36" i="26"/>
  <c r="J35" i="25"/>
  <c r="G34" i="15"/>
  <c r="H34" i="15" s="1"/>
  <c r="G31" i="24" s="1"/>
  <c r="F34" i="13"/>
  <c r="H34" i="13" s="1"/>
  <c r="I31" i="24" s="1"/>
  <c r="D33" i="20"/>
  <c r="E33" i="20" s="1"/>
  <c r="G33" i="20" s="1"/>
  <c r="L34" i="26"/>
  <c r="F33" i="13"/>
  <c r="H33" i="13" s="1"/>
  <c r="I30" i="24" s="1"/>
  <c r="L33" i="26"/>
  <c r="D30" i="20"/>
  <c r="E30" i="20" s="1"/>
  <c r="G30" i="20" s="1"/>
  <c r="G31" i="15"/>
  <c r="H31" i="15" s="1"/>
  <c r="G28" i="24" s="1"/>
  <c r="F31" i="13"/>
  <c r="H31" i="13" s="1"/>
  <c r="I28" i="24" s="1"/>
  <c r="J27" i="25"/>
  <c r="D26" i="20"/>
  <c r="E26" i="20" s="1"/>
  <c r="G26" i="20" s="1"/>
  <c r="D22" i="20"/>
  <c r="E22" i="20" s="1"/>
  <c r="G22" i="20" s="1"/>
  <c r="F23" i="13"/>
  <c r="H23" i="13" s="1"/>
  <c r="I20" i="24" s="1"/>
  <c r="L23" i="26"/>
  <c r="M23" i="26" s="1"/>
  <c r="Q23" i="26" s="1"/>
  <c r="S23" i="26" s="1"/>
  <c r="F20" i="24" s="1"/>
  <c r="G23" i="15"/>
  <c r="H23" i="15" s="1"/>
  <c r="G20" i="24" s="1"/>
  <c r="J22" i="25"/>
  <c r="J21" i="25"/>
  <c r="D21" i="20"/>
  <c r="E21" i="20" s="1"/>
  <c r="G21" i="20" s="1"/>
  <c r="G22" i="15"/>
  <c r="H22" i="15" s="1"/>
  <c r="G19" i="24" s="1"/>
  <c r="D20" i="20"/>
  <c r="E20" i="20" s="1"/>
  <c r="G20" i="20" s="1"/>
  <c r="J18" i="25"/>
  <c r="D18" i="20"/>
  <c r="E18" i="20" s="1"/>
  <c r="G18" i="20" s="1"/>
  <c r="F19" i="13"/>
  <c r="H19" i="13" s="1"/>
  <c r="I16" i="24" s="1"/>
  <c r="J14" i="25"/>
  <c r="F15" i="13"/>
  <c r="H15" i="13" s="1"/>
  <c r="I12" i="24" s="1"/>
  <c r="G15" i="15"/>
  <c r="H15" i="15" s="1"/>
  <c r="G12" i="24" s="1"/>
  <c r="L15" i="26"/>
  <c r="M15" i="26" s="1"/>
  <c r="Q15" i="26" s="1"/>
  <c r="S15" i="26" s="1"/>
  <c r="F12" i="24" s="1"/>
  <c r="D14" i="20"/>
  <c r="E14" i="20" s="1"/>
  <c r="G14" i="20" s="1"/>
  <c r="J13" i="25"/>
  <c r="D13" i="20"/>
  <c r="E13" i="20" s="1"/>
  <c r="G13" i="20" s="1"/>
  <c r="F14" i="13"/>
  <c r="H14" i="13" s="1"/>
  <c r="I11" i="24" s="1"/>
  <c r="D37" i="20"/>
  <c r="E37" i="20" s="1"/>
  <c r="G37" i="20" s="1"/>
  <c r="G37" i="15"/>
  <c r="H37" i="15" s="1"/>
  <c r="G34" i="24" s="1"/>
  <c r="F37" i="13"/>
  <c r="H37" i="13" s="1"/>
  <c r="I34" i="24" s="1"/>
  <c r="G36" i="15"/>
  <c r="H36" i="15" s="1"/>
  <c r="G33" i="24" s="1"/>
  <c r="F36" i="13"/>
  <c r="H36" i="13" s="1"/>
  <c r="I33" i="24" s="1"/>
  <c r="D35" i="20"/>
  <c r="E35" i="20" s="1"/>
  <c r="G35" i="20" s="1"/>
  <c r="G33" i="15"/>
  <c r="H33" i="15" s="1"/>
  <c r="G30" i="24" s="1"/>
  <c r="J32" i="25"/>
  <c r="D32" i="20"/>
  <c r="E32" i="20" s="1"/>
  <c r="G32" i="20" s="1"/>
  <c r="G32" i="15"/>
  <c r="H32" i="15" s="1"/>
  <c r="G29" i="24" s="1"/>
  <c r="L32" i="26"/>
  <c r="D31" i="20"/>
  <c r="E31" i="20" s="1"/>
  <c r="G31" i="20" s="1"/>
  <c r="J31" i="25"/>
  <c r="F32" i="13"/>
  <c r="H32" i="13" s="1"/>
  <c r="I29" i="24" s="1"/>
  <c r="J30" i="25"/>
  <c r="J29" i="25"/>
  <c r="G30" i="15"/>
  <c r="H30" i="15" s="1"/>
  <c r="G27" i="24" s="1"/>
  <c r="L30" i="26"/>
  <c r="F30" i="13"/>
  <c r="H30" i="13" s="1"/>
  <c r="I27" i="24" s="1"/>
  <c r="L29" i="26"/>
  <c r="M29" i="26" s="1"/>
  <c r="Q29" i="26" s="1"/>
  <c r="S29" i="26" s="1"/>
  <c r="F26" i="24" s="1"/>
  <c r="J28" i="25"/>
  <c r="G29" i="15"/>
  <c r="H29" i="15" s="1"/>
  <c r="G26" i="24" s="1"/>
  <c r="D28" i="20"/>
  <c r="E28" i="20" s="1"/>
  <c r="G28" i="20" s="1"/>
  <c r="F29" i="13"/>
  <c r="H29" i="13" s="1"/>
  <c r="I26" i="24" s="1"/>
  <c r="G27" i="15"/>
  <c r="H27" i="15" s="1"/>
  <c r="G24" i="24" s="1"/>
  <c r="L27" i="26"/>
  <c r="F27" i="13"/>
  <c r="H27" i="13" s="1"/>
  <c r="I24" i="24" s="1"/>
  <c r="L26" i="26"/>
  <c r="M26" i="26" s="1"/>
  <c r="Q26" i="26" s="1"/>
  <c r="S26" i="26" s="1"/>
  <c r="F23" i="24" s="1"/>
  <c r="J25" i="25"/>
  <c r="F26" i="13"/>
  <c r="H26" i="13" s="1"/>
  <c r="I23" i="24" s="1"/>
  <c r="G26" i="15"/>
  <c r="H26" i="15" s="1"/>
  <c r="G23" i="24" s="1"/>
  <c r="D25" i="20"/>
  <c r="E25" i="20" s="1"/>
  <c r="G25" i="20" s="1"/>
  <c r="F25" i="13"/>
  <c r="H25" i="13" s="1"/>
  <c r="I22" i="24" s="1"/>
  <c r="J24" i="25"/>
  <c r="L25" i="26"/>
  <c r="G25" i="15"/>
  <c r="H25" i="15" s="1"/>
  <c r="G22" i="24" s="1"/>
  <c r="L24" i="26"/>
  <c r="M24" i="26" s="1"/>
  <c r="Q24" i="26" s="1"/>
  <c r="S24" i="26" s="1"/>
  <c r="F21" i="24" s="1"/>
  <c r="F24" i="13"/>
  <c r="H24" i="13" s="1"/>
  <c r="I21" i="24" s="1"/>
  <c r="D23" i="20"/>
  <c r="E23" i="20" s="1"/>
  <c r="G23" i="20" s="1"/>
  <c r="J23" i="25"/>
  <c r="G24" i="15"/>
  <c r="H24" i="15" s="1"/>
  <c r="G21" i="24" s="1"/>
  <c r="F22" i="13"/>
  <c r="H22" i="13" s="1"/>
  <c r="I19" i="24" s="1"/>
  <c r="J20" i="25"/>
  <c r="L21" i="26"/>
  <c r="G21" i="15"/>
  <c r="H21" i="15" s="1"/>
  <c r="G18" i="24" s="1"/>
  <c r="D19" i="20"/>
  <c r="E19" i="20" s="1"/>
  <c r="G19" i="20" s="1"/>
  <c r="F20" i="13"/>
  <c r="H20" i="13" s="1"/>
  <c r="I17" i="24" s="1"/>
  <c r="G20" i="15"/>
  <c r="H20" i="15" s="1"/>
  <c r="G17" i="24" s="1"/>
  <c r="L20" i="26"/>
  <c r="J19" i="25"/>
  <c r="L19" i="26"/>
  <c r="G19" i="15"/>
  <c r="H19" i="15" s="1"/>
  <c r="G16" i="24" s="1"/>
  <c r="D17" i="20"/>
  <c r="E17" i="20" s="1"/>
  <c r="G17" i="20" s="1"/>
  <c r="J17" i="25"/>
  <c r="G18" i="15"/>
  <c r="H18" i="15" s="1"/>
  <c r="G15" i="24" s="1"/>
  <c r="L18" i="26"/>
  <c r="F18" i="13"/>
  <c r="H18" i="13" s="1"/>
  <c r="I15" i="24" s="1"/>
  <c r="L17" i="26"/>
  <c r="G17" i="15"/>
  <c r="H17" i="15" s="1"/>
  <c r="G14" i="24" s="1"/>
  <c r="J16" i="25"/>
  <c r="G16" i="15"/>
  <c r="H16" i="15" s="1"/>
  <c r="G13" i="24" s="1"/>
  <c r="J15" i="25"/>
  <c r="L16" i="26"/>
  <c r="L13" i="26"/>
  <c r="M13" i="26" s="1"/>
  <c r="Q13" i="26" s="1"/>
  <c r="S13" i="26" s="1"/>
  <c r="F10" i="24" s="1"/>
  <c r="F13" i="13"/>
  <c r="H13" i="13" s="1"/>
  <c r="I10" i="24" s="1"/>
  <c r="J12" i="25"/>
  <c r="D11" i="20"/>
  <c r="E11" i="20" s="1"/>
  <c r="G11" i="20" s="1"/>
  <c r="G12" i="15"/>
  <c r="H12" i="15" s="1"/>
  <c r="G9" i="24" s="1"/>
  <c r="F12" i="13"/>
  <c r="H12" i="13" s="1"/>
  <c r="I9" i="24" s="1"/>
  <c r="L12" i="26"/>
  <c r="J11" i="25"/>
  <c r="E39" i="25"/>
  <c r="G39" i="25" s="1"/>
  <c r="G40" i="15" s="1"/>
  <c r="F11" i="13"/>
  <c r="H11" i="13" s="1"/>
  <c r="I8" i="24" s="1"/>
  <c r="L11" i="26"/>
  <c r="G11" i="15"/>
  <c r="H11" i="15" s="1"/>
  <c r="G8" i="24" s="1"/>
  <c r="D10" i="20"/>
  <c r="E10" i="20" s="1"/>
  <c r="G10" i="20" s="1"/>
  <c r="L10" i="26"/>
  <c r="F10" i="13"/>
  <c r="H10" i="13" s="1"/>
  <c r="I7" i="24" s="1"/>
  <c r="J9" i="25"/>
  <c r="G10" i="15"/>
  <c r="H10" i="15" s="1"/>
  <c r="G7" i="24" s="1"/>
  <c r="F9" i="13"/>
  <c r="H9" i="13" s="1"/>
  <c r="G9" i="15"/>
  <c r="H9" i="15" s="1"/>
  <c r="J8" i="25"/>
  <c r="D8" i="20"/>
  <c r="E8" i="20" s="1"/>
  <c r="L9" i="26"/>
  <c r="N35" i="24"/>
  <c r="N13" i="24"/>
  <c r="N21" i="24"/>
  <c r="N29" i="24"/>
  <c r="N11" i="24"/>
  <c r="N19" i="24"/>
  <c r="N27" i="24"/>
  <c r="N6" i="24"/>
  <c r="N14" i="24"/>
  <c r="N8" i="24"/>
  <c r="N16" i="24"/>
  <c r="N24" i="24"/>
  <c r="N32" i="24"/>
  <c r="N10" i="24"/>
  <c r="N25" i="24"/>
  <c r="N17" i="24"/>
  <c r="N30" i="24"/>
  <c r="N22" i="24"/>
  <c r="N34" i="24"/>
  <c r="N7" i="24"/>
  <c r="N26" i="24"/>
  <c r="N18" i="24"/>
  <c r="N31" i="24"/>
  <c r="N12" i="24"/>
  <c r="N33" i="24"/>
  <c r="N23" i="24"/>
  <c r="N20" i="24"/>
  <c r="N9" i="24"/>
  <c r="C15" i="32"/>
  <c r="M33" i="26" l="1"/>
  <c r="Q33" i="26" s="1"/>
  <c r="S33" i="26" s="1"/>
  <c r="F30" i="24" s="1"/>
  <c r="J30" i="24" s="1"/>
  <c r="M34" i="26"/>
  <c r="Q34" i="26" s="1"/>
  <c r="S34" i="26" s="1"/>
  <c r="F31" i="24" s="1"/>
  <c r="M20" i="26"/>
  <c r="Q20" i="26" s="1"/>
  <c r="S20" i="26" s="1"/>
  <c r="F17" i="24" s="1"/>
  <c r="M38" i="26"/>
  <c r="Q38" i="26" s="1"/>
  <c r="S38" i="26" s="1"/>
  <c r="F35" i="24" s="1"/>
  <c r="J25" i="24"/>
  <c r="G46" i="35"/>
  <c r="H37" i="35"/>
  <c r="H46" i="35" s="1"/>
  <c r="D38" i="27"/>
  <c r="E7" i="27"/>
  <c r="J23" i="24"/>
  <c r="M16" i="26"/>
  <c r="Q16" i="26" s="1"/>
  <c r="S16" i="26" s="1"/>
  <c r="F13" i="24" s="1"/>
  <c r="J13" i="24" s="1"/>
  <c r="M12" i="26"/>
  <c r="Q12" i="26" s="1"/>
  <c r="S12" i="26" s="1"/>
  <c r="F9" i="24" s="1"/>
  <c r="J9" i="24" s="1"/>
  <c r="M10" i="26"/>
  <c r="Q10" i="26" s="1"/>
  <c r="S10" i="26" s="1"/>
  <c r="F7" i="24" s="1"/>
  <c r="J7" i="24" s="1"/>
  <c r="M9" i="26"/>
  <c r="J48" i="31"/>
  <c r="L47" i="31"/>
  <c r="M47" i="31" s="1"/>
  <c r="H48" i="31"/>
  <c r="I36" i="31" s="1"/>
  <c r="I32" i="31"/>
  <c r="L37" i="31"/>
  <c r="J12" i="24"/>
  <c r="M17" i="26"/>
  <c r="Q17" i="26" s="1"/>
  <c r="S17" i="26" s="1"/>
  <c r="F14" i="24" s="1"/>
  <c r="J14" i="24" s="1"/>
  <c r="M30" i="26"/>
  <c r="Q30" i="26" s="1"/>
  <c r="S30" i="26" s="1"/>
  <c r="F27" i="24" s="1"/>
  <c r="M35" i="26"/>
  <c r="Q35" i="26" s="1"/>
  <c r="S35" i="26" s="1"/>
  <c r="F32" i="24" s="1"/>
  <c r="J32" i="24" s="1"/>
  <c r="M18" i="26"/>
  <c r="Q18" i="26" s="1"/>
  <c r="S18" i="26" s="1"/>
  <c r="F15" i="24" s="1"/>
  <c r="J15" i="24" s="1"/>
  <c r="M36" i="26"/>
  <c r="Q36" i="26" s="1"/>
  <c r="S36" i="26" s="1"/>
  <c r="F33" i="24" s="1"/>
  <c r="J33" i="24" s="1"/>
  <c r="M19" i="26"/>
  <c r="Q19" i="26" s="1"/>
  <c r="S19" i="26" s="1"/>
  <c r="F16" i="24" s="1"/>
  <c r="J16" i="24" s="1"/>
  <c r="M37" i="26"/>
  <c r="Q37" i="26" s="1"/>
  <c r="S37" i="26" s="1"/>
  <c r="F34" i="24" s="1"/>
  <c r="J34" i="24" s="1"/>
  <c r="M21" i="26"/>
  <c r="Q21" i="26" s="1"/>
  <c r="S21" i="26" s="1"/>
  <c r="F18" i="24" s="1"/>
  <c r="J18" i="24" s="1"/>
  <c r="M11" i="26"/>
  <c r="Q11" i="26" s="1"/>
  <c r="S11" i="26" s="1"/>
  <c r="F8" i="24" s="1"/>
  <c r="J8" i="24" s="1"/>
  <c r="J19" i="24"/>
  <c r="M27" i="26"/>
  <c r="Q27" i="26" s="1"/>
  <c r="S27" i="26" s="1"/>
  <c r="F24" i="24" s="1"/>
  <c r="J24" i="24" s="1"/>
  <c r="J27" i="24"/>
  <c r="K40" i="26"/>
  <c r="M25" i="26"/>
  <c r="Q25" i="26" s="1"/>
  <c r="S25" i="26" s="1"/>
  <c r="F22" i="24" s="1"/>
  <c r="J22" i="24" s="1"/>
  <c r="M32" i="26"/>
  <c r="Q32" i="26" s="1"/>
  <c r="S32" i="26" s="1"/>
  <c r="F29" i="24" s="1"/>
  <c r="J29" i="24" s="1"/>
  <c r="J28" i="24"/>
  <c r="J31" i="24"/>
  <c r="J35" i="24"/>
  <c r="J26" i="24"/>
  <c r="J20" i="24"/>
  <c r="J10" i="24"/>
  <c r="J11" i="24"/>
  <c r="J21" i="24"/>
  <c r="J17" i="24"/>
  <c r="L40" i="26"/>
  <c r="D39" i="20"/>
  <c r="J39" i="25"/>
  <c r="G8" i="20"/>
  <c r="E39" i="20"/>
  <c r="G39" i="20" s="1"/>
  <c r="Q9" i="26"/>
  <c r="H40" i="15"/>
  <c r="G6" i="24"/>
  <c r="G37" i="24" s="1"/>
  <c r="I6" i="24"/>
  <c r="I37" i="24" s="1"/>
  <c r="H40" i="13"/>
  <c r="N37" i="24"/>
  <c r="H37" i="24" l="1"/>
  <c r="E38" i="27"/>
  <c r="I42" i="31"/>
  <c r="I10" i="31"/>
  <c r="I9" i="31"/>
  <c r="I8" i="31"/>
  <c r="L48" i="31"/>
  <c r="M48" i="31" s="1"/>
  <c r="I16" i="31"/>
  <c r="I21" i="31"/>
  <c r="I13" i="31"/>
  <c r="I33" i="31"/>
  <c r="I17" i="31"/>
  <c r="I19" i="31"/>
  <c r="I29" i="31"/>
  <c r="I43" i="31"/>
  <c r="I15" i="31"/>
  <c r="I31" i="31"/>
  <c r="I46" i="31"/>
  <c r="I27" i="31"/>
  <c r="I44" i="31"/>
  <c r="I41" i="31"/>
  <c r="I20" i="31"/>
  <c r="I30" i="31"/>
  <c r="I26" i="31"/>
  <c r="I35" i="31"/>
  <c r="I7" i="31"/>
  <c r="I34" i="31"/>
  <c r="I18" i="31"/>
  <c r="I45" i="31"/>
  <c r="I40" i="31"/>
  <c r="I24" i="31"/>
  <c r="I23" i="31"/>
  <c r="I25" i="31"/>
  <c r="I28" i="31"/>
  <c r="I6" i="31"/>
  <c r="I11" i="31"/>
  <c r="I12" i="31"/>
  <c r="I14" i="31"/>
  <c r="M37" i="31"/>
  <c r="M40" i="26"/>
  <c r="Q40" i="26"/>
  <c r="S9" i="26"/>
  <c r="I47" i="31" l="1"/>
  <c r="I22" i="31"/>
  <c r="I37" i="31" s="1"/>
  <c r="I48" i="31" s="1"/>
  <c r="F6" i="24"/>
  <c r="S40" i="26"/>
  <c r="F37" i="24" l="1"/>
  <c r="J6" i="24"/>
  <c r="J37" i="24" l="1"/>
  <c r="K6" i="24" s="1"/>
  <c r="O6" i="24" l="1"/>
  <c r="K14" i="24"/>
  <c r="O14" i="24" s="1"/>
  <c r="P14" i="24" s="1"/>
  <c r="R14" i="24" s="1"/>
  <c r="K25" i="24"/>
  <c r="O25" i="24" s="1"/>
  <c r="P25" i="24" s="1"/>
  <c r="K13" i="24"/>
  <c r="O13" i="24" s="1"/>
  <c r="P13" i="24" s="1"/>
  <c r="R13" i="24" s="1"/>
  <c r="K32" i="24"/>
  <c r="O32" i="24" s="1"/>
  <c r="P32" i="24" s="1"/>
  <c r="R32" i="24" s="1"/>
  <c r="K7" i="24"/>
  <c r="O7" i="24" s="1"/>
  <c r="P7" i="24" s="1"/>
  <c r="R7" i="24" s="1"/>
  <c r="K31" i="24"/>
  <c r="O31" i="24" s="1"/>
  <c r="P31" i="24" s="1"/>
  <c r="R31" i="24" s="1"/>
  <c r="K16" i="24"/>
  <c r="O16" i="24" s="1"/>
  <c r="P16" i="24" s="1"/>
  <c r="R16" i="24" s="1"/>
  <c r="K20" i="24"/>
  <c r="O20" i="24" s="1"/>
  <c r="P20" i="24" s="1"/>
  <c r="R20" i="24" s="1"/>
  <c r="K24" i="24"/>
  <c r="O24" i="24" s="1"/>
  <c r="P24" i="24" s="1"/>
  <c r="K18" i="24"/>
  <c r="O18" i="24" s="1"/>
  <c r="P18" i="24" s="1"/>
  <c r="R18" i="24" s="1"/>
  <c r="K30" i="24"/>
  <c r="O30" i="24" s="1"/>
  <c r="P30" i="24" s="1"/>
  <c r="K26" i="24"/>
  <c r="O26" i="24" s="1"/>
  <c r="P26" i="24" s="1"/>
  <c r="K29" i="24"/>
  <c r="O29" i="24" s="1"/>
  <c r="P29" i="24" s="1"/>
  <c r="K28" i="24"/>
  <c r="O28" i="24" s="1"/>
  <c r="P28" i="24" s="1"/>
  <c r="K27" i="24"/>
  <c r="O27" i="24" s="1"/>
  <c r="P27" i="24" s="1"/>
  <c r="K21" i="24"/>
  <c r="O21" i="24" s="1"/>
  <c r="P21" i="24" s="1"/>
  <c r="K17" i="24"/>
  <c r="O17" i="24" s="1"/>
  <c r="P17" i="24" s="1"/>
  <c r="R17" i="24" s="1"/>
  <c r="K23" i="24"/>
  <c r="O23" i="24" s="1"/>
  <c r="P23" i="24" s="1"/>
  <c r="K19" i="24"/>
  <c r="O19" i="24" s="1"/>
  <c r="P19" i="24" s="1"/>
  <c r="R19" i="24" s="1"/>
  <c r="K11" i="24"/>
  <c r="O11" i="24" s="1"/>
  <c r="P11" i="24" s="1"/>
  <c r="R11" i="24" s="1"/>
  <c r="K33" i="24"/>
  <c r="O33" i="24" s="1"/>
  <c r="P33" i="24" s="1"/>
  <c r="R33" i="24" s="1"/>
  <c r="K8" i="24"/>
  <c r="O8" i="24" s="1"/>
  <c r="P8" i="24" s="1"/>
  <c r="R8" i="24" s="1"/>
  <c r="K35" i="24"/>
  <c r="O35" i="24" s="1"/>
  <c r="P35" i="24" s="1"/>
  <c r="R35" i="24" s="1"/>
  <c r="K22" i="24"/>
  <c r="O22" i="24" s="1"/>
  <c r="P22" i="24" s="1"/>
  <c r="K10" i="24"/>
  <c r="O10" i="24" s="1"/>
  <c r="P10" i="24" s="1"/>
  <c r="R10" i="24" s="1"/>
  <c r="K12" i="24"/>
  <c r="O12" i="24" s="1"/>
  <c r="P12" i="24" s="1"/>
  <c r="R12" i="24" s="1"/>
  <c r="K15" i="24"/>
  <c r="O15" i="24" s="1"/>
  <c r="P15" i="24" s="1"/>
  <c r="R15" i="24" s="1"/>
  <c r="K9" i="24"/>
  <c r="O9" i="24" s="1"/>
  <c r="P9" i="24" s="1"/>
  <c r="R9" i="24" s="1"/>
  <c r="K34" i="24"/>
  <c r="O34" i="24" s="1"/>
  <c r="P34" i="24" s="1"/>
  <c r="R34" i="24" s="1"/>
  <c r="R29" i="24" l="1"/>
  <c r="S29" i="24" s="1"/>
  <c r="R22" i="24"/>
  <c r="R30" i="24"/>
  <c r="R24" i="24"/>
  <c r="R21" i="24"/>
  <c r="S21" i="24" s="1"/>
  <c r="R27" i="24"/>
  <c r="R28" i="24"/>
  <c r="S28" i="24" s="1"/>
  <c r="R26" i="24"/>
  <c r="R23" i="24"/>
  <c r="R25" i="24"/>
  <c r="S27" i="24"/>
  <c r="S33" i="24"/>
  <c r="S9" i="24"/>
  <c r="S26" i="24"/>
  <c r="S32" i="24"/>
  <c r="S15" i="24"/>
  <c r="S19" i="24"/>
  <c r="S30" i="24"/>
  <c r="S13" i="24"/>
  <c r="S8" i="24"/>
  <c r="S34" i="24"/>
  <c r="S7" i="24"/>
  <c r="S23" i="24"/>
  <c r="S35" i="24"/>
  <c r="S16" i="24"/>
  <c r="S31" i="24"/>
  <c r="S11" i="24"/>
  <c r="S12" i="24"/>
  <c r="S18" i="24"/>
  <c r="S25" i="24"/>
  <c r="S10" i="24"/>
  <c r="S17" i="24"/>
  <c r="S24" i="24"/>
  <c r="S14" i="24"/>
  <c r="S22" i="24"/>
  <c r="S20" i="24"/>
  <c r="K37" i="24"/>
  <c r="O37" i="24"/>
  <c r="P6" i="24"/>
  <c r="P37" i="24" l="1"/>
  <c r="R6" i="24"/>
  <c r="Q6" i="24" l="1"/>
  <c r="Q24" i="24"/>
  <c r="Q21" i="24"/>
  <c r="Q22" i="24"/>
  <c r="Q27" i="24"/>
  <c r="Q25" i="24"/>
  <c r="Q26" i="24"/>
  <c r="Q23" i="24"/>
  <c r="Q30" i="24"/>
  <c r="Q28" i="24"/>
  <c r="Q29" i="24"/>
  <c r="R37" i="24"/>
  <c r="S37" i="24" s="1"/>
  <c r="S6" i="24"/>
  <c r="S40" i="24" s="1"/>
  <c r="Q20" i="24"/>
  <c r="Q14" i="24"/>
  <c r="Q15" i="24"/>
  <c r="Q10" i="24"/>
  <c r="Q12" i="24"/>
  <c r="Q16" i="24"/>
  <c r="Q13" i="24"/>
  <c r="Q11" i="24"/>
  <c r="Q17" i="24"/>
  <c r="Q35" i="24"/>
  <c r="Q7" i="24"/>
  <c r="Q34" i="24"/>
  <c r="Q18" i="24"/>
  <c r="Q31" i="24"/>
  <c r="Q9" i="24"/>
  <c r="Q19" i="24"/>
  <c r="Q33" i="24"/>
  <c r="Q8" i="24"/>
  <c r="Q32" i="24"/>
  <c r="Q37" i="24" l="1"/>
</calcChain>
</file>

<file path=xl/sharedStrings.xml><?xml version="1.0" encoding="utf-8"?>
<sst xmlns="http://schemas.openxmlformats.org/spreadsheetml/2006/main" count="1037" uniqueCount="335">
  <si>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</si>
  <si>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</si>
  <si>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</si>
  <si>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</si>
  <si>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</si>
  <si>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</si>
  <si>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</si>
  <si>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</si>
  <si>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</si>
  <si>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</si>
  <si>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</si>
  <si>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</si>
  <si>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</si>
  <si>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</si>
  <si>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</si>
  <si>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</si>
  <si>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</si>
  <si>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</si>
  <si>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</si>
  <si>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</si>
  <si>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</si>
  <si>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</si>
  <si>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</si>
  <si>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</si>
  <si>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</si>
  <si>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</si>
  <si>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</si>
  <si>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</si>
  <si>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</si>
  <si>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</si>
  <si>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</si>
  <si>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</si>
  <si>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</si>
  <si>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</si>
  <si>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</si>
  <si>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</si>
  <si>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</si>
  <si>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</si>
  <si>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</si>
  <si>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</si>
  <si>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</si>
  <si>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</si>
  <si>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</si>
  <si>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</si>
  <si>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</si>
  <si>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</si>
  <si>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</si>
  <si>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</si>
  <si>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</si>
  <si>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</si>
  <si>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</si>
  <si>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</si>
  <si>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</si>
  <si>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</si>
  <si>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</si>
  <si>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</si>
  <si>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</si>
  <si>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</si>
  <si>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</si>
  <si>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</si>
  <si>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</si>
  <si>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</si>
  <si>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</si>
  <si>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</si>
  <si>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</si>
  <si>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</si>
  <si>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</si>
  <si>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</si>
  <si>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</si>
  <si>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</si>
  <si>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</si>
  <si>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</si>
  <si>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</si>
  <si>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</si>
  <si>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</si>
  <si>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</si>
  <si>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</si>
  <si>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</si>
  <si>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</si>
  <si>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a</t>
  </si>
  <si>
    <t>10% of LD expended</t>
  </si>
  <si>
    <t>g</t>
  </si>
  <si>
    <t>h</t>
  </si>
  <si>
    <t>Institution</t>
  </si>
  <si>
    <t>Regional Dean of Mgmt Education</t>
  </si>
  <si>
    <t>Departmental Research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</si>
  <si>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</si>
  <si>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</si>
  <si>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</si>
  <si>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</si>
  <si>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</si>
  <si>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</si>
  <si>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</si>
  <si>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</si>
  <si>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</si>
  <si>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</si>
  <si>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</si>
  <si>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</si>
  <si>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</si>
  <si>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</si>
  <si>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</si>
  <si>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</si>
  <si>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</si>
  <si>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</si>
  <si>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</si>
  <si>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</si>
  <si>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</si>
  <si>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</si>
  <si>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</si>
  <si>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</si>
  <si>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</si>
  <si>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</si>
  <si>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</si>
  <si>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</si>
  <si>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</si>
  <si>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</si>
  <si>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</si>
  <si>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</si>
  <si>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</si>
  <si>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</si>
  <si>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</si>
  <si>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</si>
  <si>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</si>
  <si>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</si>
  <si>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</si>
  <si>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</si>
  <si>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</si>
  <si>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</si>
  <si>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</si>
  <si>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</si>
  <si>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</si>
  <si>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</si>
  <si>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</si>
  <si>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</si>
  <si>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</si>
  <si>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</si>
  <si>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</si>
  <si>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Minnesota West CTC</t>
  </si>
  <si>
    <t>Q</t>
  </si>
  <si>
    <t>Hennepin Technical College</t>
  </si>
  <si>
    <t>Metropolitan State University</t>
  </si>
  <si>
    <t>Minnesota State CTC</t>
  </si>
  <si>
    <t>2 Year Average Allocation Instruction</t>
  </si>
  <si>
    <t>e=c*(1-d)</t>
  </si>
  <si>
    <t>Research</t>
  </si>
  <si>
    <t>Public Service</t>
  </si>
  <si>
    <t>Dakota County TC - Inver Hills CC</t>
  </si>
  <si>
    <t>Allocation for Student Success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</si>
  <si>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</si>
  <si>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</si>
  <si>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</si>
  <si>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</si>
  <si>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</si>
  <si>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</si>
  <si>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</si>
  <si>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</si>
  <si>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</si>
  <si>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</si>
  <si>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</si>
  <si>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</si>
  <si>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</si>
  <si>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</si>
  <si>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</si>
  <si>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</si>
  <si>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</si>
  <si>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</si>
  <si>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</si>
  <si>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</si>
  <si>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</si>
  <si>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</si>
  <si>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</si>
  <si>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</si>
  <si>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</si>
  <si>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</si>
  <si>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</si>
  <si>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2 Year Average Allocation Student Services &amp; Institutional Support</t>
  </si>
  <si>
    <t>Includes Library Spending</t>
  </si>
  <si>
    <t xml:space="preserve">Minnesota SC-Southeast </t>
  </si>
  <si>
    <t>Student Success Measures</t>
  </si>
  <si>
    <t>Exceeding Expected Rates</t>
  </si>
  <si>
    <t>Improved Rates for SOC</t>
  </si>
  <si>
    <t>Colleges / Universities</t>
  </si>
  <si>
    <t>Cohort</t>
  </si>
  <si>
    <t>Success-ful</t>
  </si>
  <si>
    <t>Actual Rate</t>
  </si>
  <si>
    <t>Expected Rate</t>
  </si>
  <si>
    <t>Upper Limit One SD</t>
  </si>
  <si>
    <t>Expected Successful One SD</t>
  </si>
  <si>
    <t>Allocation</t>
  </si>
  <si>
    <t>Alexandria Technical and Community College</t>
  </si>
  <si>
    <t>Anoka-Ramsey Community College</t>
  </si>
  <si>
    <t>Anoka Technical College</t>
  </si>
  <si>
    <t>Dakota County Technical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</si>
  <si>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</si>
  <si>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</si>
  <si>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</si>
  <si>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</si>
  <si>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</si>
  <si>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</si>
  <si>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</si>
  <si>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</si>
  <si>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</si>
  <si>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</si>
  <si>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</si>
  <si>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</si>
  <si>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</si>
  <si>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</si>
  <si>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</si>
  <si>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</si>
  <si>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</si>
  <si>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</si>
  <si>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</si>
  <si>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</si>
  <si>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</si>
  <si>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</si>
  <si>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</si>
  <si>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Change</t>
  </si>
  <si>
    <t>Addnl Success-</t>
  </si>
  <si>
    <t>College / University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</si>
  <si>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</si>
  <si>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</si>
  <si>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</si>
  <si>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</si>
  <si>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</si>
  <si>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</si>
  <si>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</si>
  <si>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</si>
  <si>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</si>
  <si>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</si>
  <si>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</si>
  <si>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Additional Weight Modeling based on total headcount and underrepresented headcount</t>
  </si>
  <si>
    <t xml:space="preserve">Additional Weight 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</si>
  <si>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</si>
  <si>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</si>
  <si>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</si>
  <si>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</si>
  <si>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</si>
  <si>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</si>
  <si>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</si>
  <si>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</si>
  <si>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</si>
  <si>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</si>
  <si>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</si>
  <si>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</si>
  <si>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</si>
  <si>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</si>
  <si>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</si>
  <si>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</si>
  <si>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</si>
  <si>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</si>
  <si>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</si>
  <si>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</si>
  <si>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</si>
  <si>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Minnesota State</t>
  </si>
  <si>
    <t xml:space="preserve">Minnesota State 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</si>
  <si>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</si>
  <si>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</si>
  <si>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</si>
  <si>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</si>
  <si>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</si>
  <si>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</si>
  <si>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</si>
  <si>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</si>
  <si>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</si>
  <si>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</si>
  <si>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</si>
  <si>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</si>
  <si>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</si>
  <si>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</si>
  <si>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R</t>
  </si>
  <si>
    <t>50% FY2018 Base % Share</t>
  </si>
  <si>
    <t xml:space="preserve">FY2019 Base Allocation </t>
  </si>
  <si>
    <t>% Share of FY2019 Allocation</t>
  </si>
  <si>
    <t>FY2019 Allocation for Student Services &amp; Institutional Support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</si>
  <si>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</si>
  <si>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</si>
  <si>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</si>
  <si>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</si>
  <si>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</si>
  <si>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Expected Success-ful</t>
  </si>
  <si>
    <t>Addnl Success-ful Students One SD</t>
  </si>
  <si>
    <t>Funds per Successful Student</t>
  </si>
  <si>
    <t>Based on FY2017 System Data</t>
  </si>
  <si>
    <t>Rural College Campus Aid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</si>
  <si>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</si>
  <si>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</si>
  <si>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</si>
  <si>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</si>
  <si>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</si>
  <si>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</si>
  <si>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</si>
  <si>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</si>
  <si>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</si>
  <si>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</si>
  <si>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FY18 Buydown</t>
  </si>
  <si>
    <t>FP&amp;A - February 2018</t>
  </si>
  <si>
    <t xml:space="preserve">BASED ON FY2018 System DATA </t>
  </si>
  <si>
    <t>FY2018 Total GEN Revenue</t>
  </si>
  <si>
    <t>FY2018 Total State Appropriation</t>
  </si>
  <si>
    <t>FP&amp;A - January 2019</t>
  </si>
  <si>
    <t>s:\finance\bargain\FY20 allocation\Summary of FY2020 Institutional Allocation Draft</t>
  </si>
  <si>
    <t>BASED ON FY2018 System DATA -- January 2019</t>
  </si>
  <si>
    <t>FY2018 Academic Support Net Expenditures</t>
  </si>
  <si>
    <t>FY2018 Academic Support State Appro Expended</t>
  </si>
  <si>
    <t>FY2018 FYE</t>
  </si>
  <si>
    <t>FY2018</t>
  </si>
  <si>
    <t>BASED ON FY2018 System DATA  -- January 2019</t>
  </si>
  <si>
    <t>FY2020 Allocation for Student Services &amp; Institutional Support</t>
  </si>
  <si>
    <t>FY2020 Allocation for Instruction &amp; Academic Support</t>
  </si>
  <si>
    <t>FY2019 Allocation for Instruction &amp; Academic Support</t>
  </si>
  <si>
    <t>Instruction &amp; Academic Support State Appro Expended</t>
  </si>
  <si>
    <t xml:space="preserve">FY2020 Base Allocation </t>
  </si>
  <si>
    <t>% Share of FY2020 Allocation</t>
  </si>
  <si>
    <t>$ Change Over FY2019</t>
  </si>
  <si>
    <t>% Change Over FY2019</t>
  </si>
  <si>
    <t>Fiscal Year 2020 Based on FY2018 Headcount</t>
  </si>
  <si>
    <t>2015-2017</t>
  </si>
  <si>
    <t xml:space="preserve">Fiscal Years 2015 to 2017 Entering Students </t>
  </si>
  <si>
    <t>Based on FY2015-2017 Enrollment Data</t>
  </si>
  <si>
    <t>Concurrent Enrollment Change</t>
  </si>
  <si>
    <t>Lower Division Change</t>
  </si>
  <si>
    <t>Upper Division Change</t>
  </si>
  <si>
    <t>Graduate Change</t>
  </si>
  <si>
    <t>b+c+d+e+f+g</t>
  </si>
  <si>
    <t>a=h</t>
  </si>
  <si>
    <t>Avg (i+j)</t>
  </si>
  <si>
    <t>BASED ON FY2018 System DATA and FY2017 NATIONAL DATA --February 2019</t>
  </si>
  <si>
    <t xml:space="preserve">FY2020 Access &amp; Opportunity </t>
  </si>
  <si>
    <t>FY14-18 Tuition Relief Allocation</t>
  </si>
  <si>
    <t>FP&amp;A - February 2019</t>
  </si>
  <si>
    <t>Fiscal Year 2017 Entering Students</t>
  </si>
  <si>
    <t>Actual and Expected Third Term Persistence and Completion Rates and Additional Successful Students</t>
  </si>
  <si>
    <t>Persistence and Completion at Third Term - Students of Color</t>
  </si>
  <si>
    <t>Adjusted FY2018 Headcount</t>
  </si>
  <si>
    <t>BASED ON FY2018 System DATA and FY2017 NATIONAL DATA --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</si>
</sst>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06">
    <xf numFmtId="0" fontId="0" fillId="0" borderId="0" xfId="0"/>
    <xf numFmtId="0" fontId="4" fillId="2" borderId="1" xfId="7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7" fillId="0" borderId="0" xfId="0" applyFont="1"/>
    <xf numFmtId="38" fontId="7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6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7" fillId="0" borderId="0" xfId="0" applyFont="1" applyBorder="1"/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10" fontId="0" fillId="0" borderId="0" xfId="0" applyNumberFormat="1" applyBorder="1"/>
    <xf numFmtId="0" fontId="10" fillId="0" borderId="0" xfId="0" applyFont="1" applyBorder="1"/>
    <xf numFmtId="0" fontId="7" fillId="0" borderId="4" xfId="0" applyFont="1" applyBorder="1" applyAlignment="1">
      <alignment horizontal="center" wrapText="1"/>
    </xf>
    <xf numFmtId="38" fontId="7" fillId="2" borderId="4" xfId="0" applyNumberFormat="1" applyFont="1" applyFill="1" applyBorder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6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7" fillId="0" borderId="0" xfId="0" applyFont="1" applyBorder="1" applyAlignment="1">
      <alignment horizontal="left"/>
    </xf>
    <xf numFmtId="10" fontId="7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0" fillId="2" borderId="1" xfId="9" applyNumberFormat="1" applyFont="1" applyFill="1" applyBorder="1"/>
    <xf numFmtId="10" fontId="7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7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8" fontId="7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3" fontId="7" fillId="4" borderId="0" xfId="0" applyNumberFormat="1" applyFont="1" applyFill="1"/>
    <xf numFmtId="10" fontId="9" fillId="4" borderId="0" xfId="0" applyNumberFormat="1" applyFont="1" applyFill="1" applyBorder="1" applyAlignment="1">
      <alignment horizontal="center"/>
    </xf>
    <xf numFmtId="10" fontId="9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10" fontId="7" fillId="4" borderId="0" xfId="0" applyNumberFormat="1" applyFont="1" applyFill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8" fontId="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4" fillId="4" borderId="1" xfId="8" applyFont="1" applyFill="1" applyBorder="1" applyAlignment="1">
      <alignment horizontal="center" wrapText="1"/>
    </xf>
    <xf numFmtId="38" fontId="7" fillId="4" borderId="1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0" fontId="6" fillId="4" borderId="0" xfId="8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49" fontId="6" fillId="4" borderId="1" xfId="7" applyNumberFormat="1" applyFont="1" applyFill="1" applyBorder="1" applyAlignment="1">
      <alignment horizontal="center" wrapText="1"/>
    </xf>
    <xf numFmtId="49" fontId="8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0" fillId="0" borderId="0" xfId="0" applyNumberFormat="1" applyFill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6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7" fillId="0" borderId="4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7" fillId="0" borderId="4" xfId="2" applyNumberFormat="1" applyFont="1" applyFill="1" applyBorder="1" applyAlignment="1">
      <alignment horizontal="center"/>
    </xf>
    <xf numFmtId="169" fontId="7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38" fontId="7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center"/>
    </xf>
    <xf numFmtId="6" fontId="7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6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6" fillId="0" borderId="1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6" fillId="0" borderId="0" xfId="7" applyNumberFormat="1" applyFont="1" applyFill="1" applyBorder="1" applyAlignment="1">
      <alignment horizontal="right" wrapTex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6" fillId="0" borderId="1" xfId="7" applyNumberFormat="1" applyFont="1" applyFill="1" applyBorder="1" applyAlignment="1">
      <alignment horizontal="right" wrapText="1"/>
    </xf>
    <xf numFmtId="0" fontId="6" fillId="0" borderId="14" xfId="5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6" fillId="0" borderId="1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" fontId="4" fillId="0" borderId="1" xfId="7" applyNumberFormat="1" applyFont="1" applyFill="1" applyBorder="1" applyAlignment="1">
      <alignment horizontal="center" wrapText="1" shrinkToFit="1"/>
    </xf>
    <xf numFmtId="0" fontId="4" fillId="0" borderId="6" xfId="7" applyFont="1" applyFill="1" applyBorder="1" applyAlignment="1">
      <alignment horizontal="center" wrapText="1"/>
    </xf>
    <xf numFmtId="38" fontId="6" fillId="0" borderId="6" xfId="3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/>
    </xf>
    <xf numFmtId="38" fontId="6" fillId="0" borderId="4" xfId="3" applyNumberFormat="1" applyFont="1" applyFill="1" applyBorder="1" applyAlignment="1">
      <alignment horizontal="right" wrapText="1"/>
    </xf>
    <xf numFmtId="10" fontId="6" fillId="0" borderId="8" xfId="7" applyNumberFormat="1" applyFont="1" applyFill="1" applyBorder="1" applyAlignment="1">
      <alignment horizontal="right" wrapText="1"/>
    </xf>
    <xf numFmtId="3" fontId="6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8" fontId="4" fillId="0" borderId="0" xfId="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8" fillId="0" borderId="0" xfId="0" applyNumberFormat="1" applyFont="1" applyFill="1" applyAlignment="1"/>
    <xf numFmtId="10" fontId="4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6" fillId="0" borderId="0" xfId="1" applyNumberFormat="1" applyFont="1" applyFill="1" applyBorder="1" applyAlignment="1">
      <alignment horizontal="right" wrapText="1"/>
    </xf>
    <xf numFmtId="0" fontId="7" fillId="5" borderId="0" xfId="0" applyFont="1" applyFill="1" applyBorder="1"/>
    <xf numFmtId="168" fontId="6" fillId="0" borderId="4" xfId="1" applyNumberFormat="1" applyFont="1" applyFill="1" applyBorder="1" applyAlignment="1">
      <alignment horizontal="right" wrapText="1"/>
    </xf>
    <xf numFmtId="0" fontId="7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7" fillId="0" borderId="3" xfId="0" applyFont="1" applyFill="1" applyBorder="1"/>
    <xf numFmtId="0" fontId="4" fillId="0" borderId="2" xfId="7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38" fontId="6" fillId="0" borderId="1" xfId="4" applyNumberFormat="1" applyFont="1" applyFill="1" applyBorder="1" applyAlignment="1">
      <alignment horizontal="right" wrapText="1"/>
    </xf>
    <xf numFmtId="38" fontId="3" fillId="0" borderId="1" xfId="4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 wrapText="1"/>
    </xf>
    <xf numFmtId="0" fontId="6" fillId="0" borderId="15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38" fontId="6" fillId="0" borderId="1" xfId="5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7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0" xfId="7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6" fillId="0" borderId="4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7" fillId="0" borderId="0" xfId="0" applyNumberFormat="1" applyFont="1" applyFill="1"/>
    <xf numFmtId="0" fontId="7" fillId="0" borderId="0" xfId="0" applyFont="1" applyAlignment="1">
      <alignment horizontal="center"/>
    </xf>
    <xf numFmtId="3" fontId="6" fillId="0" borderId="0" xfId="7" applyNumberFormat="1" applyFont="1" applyFill="1" applyBorder="1" applyAlignment="1">
      <alignment horizontal="center" wrapText="1"/>
    </xf>
    <xf numFmtId="0" fontId="3" fillId="0" borderId="0" xfId="0" applyFont="1"/>
    <xf numFmtId="168" fontId="7" fillId="0" borderId="0" xfId="0" applyNumberFormat="1" applyFont="1"/>
    <xf numFmtId="167" fontId="7" fillId="0" borderId="0" xfId="9" applyNumberFormat="1" applyFont="1" applyFill="1" applyBorder="1"/>
    <xf numFmtId="3" fontId="3" fillId="7" borderId="19" xfId="1" applyNumberFormat="1" applyFont="1" applyFill="1" applyBorder="1"/>
    <xf numFmtId="38" fontId="7" fillId="0" borderId="2" xfId="0" applyNumberFormat="1" applyFont="1" applyFill="1" applyBorder="1" applyAlignment="1">
      <alignment horizontal="center" wrapText="1"/>
    </xf>
    <xf numFmtId="9" fontId="0" fillId="0" borderId="0" xfId="9" applyNumberFormat="1" applyFont="1" applyFill="1"/>
    <xf numFmtId="38" fontId="4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7" fillId="2" borderId="21" xfId="0" applyFont="1" applyFill="1" applyBorder="1" applyAlignment="1">
      <alignment horizontal="center" wrapText="1"/>
    </xf>
    <xf numFmtId="0" fontId="4" fillId="2" borderId="21" xfId="8" applyFont="1" applyFill="1" applyBorder="1" applyAlignment="1">
      <alignment horizontal="center" wrapText="1"/>
    </xf>
    <xf numFmtId="38" fontId="7" fillId="2" borderId="20" xfId="0" applyNumberFormat="1" applyFont="1" applyFill="1" applyBorder="1" applyAlignment="1">
      <alignment horizontal="center" wrapText="1"/>
    </xf>
    <xf numFmtId="49" fontId="6" fillId="0" borderId="21" xfId="7" applyNumberFormat="1" applyFont="1" applyFill="1" applyBorder="1" applyAlignment="1">
      <alignment horizontal="center" wrapText="1"/>
    </xf>
    <xf numFmtId="0" fontId="6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6" fillId="0" borderId="21" xfId="7" applyFont="1" applyFill="1" applyBorder="1" applyAlignment="1">
      <alignment horizontal="left"/>
    </xf>
    <xf numFmtId="38" fontId="3" fillId="0" borderId="0" xfId="0" applyNumberFormat="1" applyFont="1"/>
    <xf numFmtId="10" fontId="3" fillId="0" borderId="0" xfId="9" applyNumberFormat="1" applyFont="1"/>
    <xf numFmtId="0" fontId="13" fillId="0" borderId="0" xfId="10" applyFont="1" applyFill="1"/>
    <xf numFmtId="0" fontId="3" fillId="0" borderId="0" xfId="10" applyFill="1"/>
    <xf numFmtId="3" fontId="3" fillId="0" borderId="0" xfId="10" applyNumberFormat="1" applyFill="1"/>
    <xf numFmtId="38" fontId="3" fillId="0" borderId="0" xfId="10" applyNumberFormat="1" applyFill="1"/>
    <xf numFmtId="10" fontId="3" fillId="0" borderId="0" xfId="10" applyNumberForma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7" fillId="0" borderId="0" xfId="10" applyFont="1" applyFill="1" applyAlignment="1">
      <alignment horizontal="center"/>
    </xf>
    <xf numFmtId="3" fontId="7" fillId="0" borderId="0" xfId="10" applyNumberFormat="1" applyFont="1" applyFill="1" applyAlignment="1">
      <alignment horizontal="center"/>
    </xf>
    <xf numFmtId="38" fontId="7" fillId="0" borderId="0" xfId="10" applyNumberFormat="1" applyFont="1" applyFill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3" fillId="0" borderId="0" xfId="10" applyFill="1" applyAlignment="1">
      <alignment horizontal="center"/>
    </xf>
    <xf numFmtId="0" fontId="4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7" fillId="0" borderId="0" xfId="10" applyNumberFormat="1" applyFont="1" applyFill="1" applyBorder="1" applyAlignment="1">
      <alignment horizontal="center" wrapText="1"/>
    </xf>
    <xf numFmtId="10" fontId="7" fillId="0" borderId="22" xfId="10" applyNumberFormat="1" applyFont="1" applyFill="1" applyBorder="1" applyAlignment="1">
      <alignment horizontal="center" wrapText="1"/>
    </xf>
    <xf numFmtId="0" fontId="3" fillId="0" borderId="0" xfId="10" applyFill="1" applyAlignment="1">
      <alignment wrapText="1"/>
    </xf>
    <xf numFmtId="38" fontId="4" fillId="0" borderId="22" xfId="7" applyNumberFormat="1" applyFont="1" applyFill="1" applyBorder="1" applyAlignment="1">
      <alignment horizontal="center" wrapText="1"/>
    </xf>
    <xf numFmtId="38" fontId="3" fillId="0" borderId="0" xfId="10" applyNumberFormat="1" applyFill="1" applyBorder="1" applyAlignment="1">
      <alignment horizontal="center" wrapText="1"/>
    </xf>
    <xf numFmtId="10" fontId="3" fillId="0" borderId="0" xfId="10" applyNumberFormat="1" applyFill="1" applyAlignment="1">
      <alignment wrapText="1"/>
    </xf>
    <xf numFmtId="0" fontId="6" fillId="0" borderId="23" xfId="7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left" wrapText="1"/>
    </xf>
    <xf numFmtId="168" fontId="6" fillId="0" borderId="23" xfId="6" applyNumberFormat="1" applyFont="1" applyFill="1" applyBorder="1" applyAlignment="1">
      <alignment horizontal="right" wrapText="1"/>
    </xf>
    <xf numFmtId="38" fontId="6" fillId="0" borderId="24" xfId="7" applyNumberFormat="1" applyFont="1" applyFill="1" applyBorder="1" applyAlignment="1">
      <alignment horizontal="right" wrapText="1"/>
    </xf>
    <xf numFmtId="38" fontId="6" fillId="0" borderId="25" xfId="7" applyNumberFormat="1" applyFont="1" applyFill="1" applyBorder="1" applyAlignment="1">
      <alignment horizontal="right" wrapText="1"/>
    </xf>
    <xf numFmtId="38" fontId="3" fillId="0" borderId="23" xfId="10" applyNumberFormat="1" applyFill="1" applyBorder="1" applyAlignment="1">
      <alignment horizontal="right"/>
    </xf>
    <xf numFmtId="10" fontId="3" fillId="0" borderId="0" xfId="10" applyNumberFormat="1" applyFill="1" applyBorder="1" applyAlignment="1">
      <alignment horizontal="right"/>
    </xf>
    <xf numFmtId="10" fontId="3" fillId="0" borderId="23" xfId="10" applyNumberFormat="1" applyFill="1" applyBorder="1"/>
    <xf numFmtId="168" fontId="6" fillId="0" borderId="23" xfId="1" applyNumberFormat="1" applyFont="1" applyFill="1" applyBorder="1" applyAlignment="1">
      <alignment horizontal="right" wrapText="1"/>
    </xf>
    <xf numFmtId="0" fontId="6" fillId="0" borderId="22" xfId="7" applyFont="1" applyFill="1" applyBorder="1" applyAlignment="1">
      <alignment horizontal="left"/>
    </xf>
    <xf numFmtId="49" fontId="6" fillId="0" borderId="22" xfId="7" applyNumberFormat="1" applyFont="1" applyFill="1" applyBorder="1" applyAlignment="1">
      <alignment horizontal="center" wrapText="1"/>
    </xf>
    <xf numFmtId="49" fontId="6" fillId="0" borderId="23" xfId="7" applyNumberFormat="1" applyFont="1" applyFill="1" applyBorder="1" applyAlignment="1">
      <alignment horizontal="center" wrapText="1"/>
    </xf>
    <xf numFmtId="3" fontId="3" fillId="0" borderId="0" xfId="10" applyNumberFormat="1" applyFill="1" applyAlignment="1">
      <alignment horizontal="right"/>
    </xf>
    <xf numFmtId="38" fontId="3" fillId="0" borderId="0" xfId="10" applyNumberFormat="1" applyFill="1" applyAlignment="1">
      <alignment horizontal="right"/>
    </xf>
    <xf numFmtId="0" fontId="3" fillId="0" borderId="0" xfId="10" applyFill="1" applyAlignment="1">
      <alignment horizontal="right"/>
    </xf>
    <xf numFmtId="10" fontId="3" fillId="0" borderId="0" xfId="10" applyNumberFormat="1" applyFill="1" applyAlignment="1">
      <alignment horizontal="right"/>
    </xf>
    <xf numFmtId="0" fontId="3" fillId="0" borderId="0" xfId="10" applyFont="1" applyFill="1" applyAlignment="1">
      <alignment horizontal="left"/>
    </xf>
    <xf numFmtId="0" fontId="3" fillId="0" borderId="0" xfId="10" applyFill="1" applyAlignment="1">
      <alignment horizontal="left"/>
    </xf>
    <xf numFmtId="49" fontId="8" fillId="0" borderId="0" xfId="10" applyNumberFormat="1" applyFont="1" applyFill="1" applyAlignment="1">
      <alignment horizontal="left"/>
    </xf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4" fillId="0" borderId="22" xfId="7" applyFont="1" applyFill="1" applyBorder="1" applyAlignment="1">
      <alignment horizontal="center"/>
    </xf>
    <xf numFmtId="0" fontId="4" fillId="10" borderId="22" xfId="7" applyFont="1" applyFill="1" applyBorder="1" applyAlignment="1">
      <alignment horizontal="center" wrapText="1"/>
    </xf>
    <xf numFmtId="38" fontId="4" fillId="10" borderId="22" xfId="7" applyNumberFormat="1" applyFont="1" applyFill="1" applyBorder="1" applyAlignment="1">
      <alignment horizontal="center" wrapText="1"/>
    </xf>
    <xf numFmtId="38" fontId="4" fillId="8" borderId="22" xfId="7" applyNumberFormat="1" applyFont="1" applyFill="1" applyBorder="1" applyAlignment="1">
      <alignment horizontal="center" wrapText="1"/>
    </xf>
    <xf numFmtId="10" fontId="7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0" fontId="4" fillId="0" borderId="25" xfId="7" applyFont="1" applyFill="1" applyBorder="1" applyAlignment="1">
      <alignment horizontal="center"/>
    </xf>
    <xf numFmtId="38" fontId="4" fillId="10" borderId="0" xfId="7" applyNumberFormat="1" applyFont="1" applyFill="1" applyBorder="1" applyAlignment="1">
      <alignment horizontal="center" wrapText="1"/>
    </xf>
    <xf numFmtId="38" fontId="4" fillId="10" borderId="25" xfId="7" applyNumberFormat="1" applyFont="1" applyFill="1" applyBorder="1" applyAlignment="1">
      <alignment horizontal="center" wrapText="1"/>
    </xf>
    <xf numFmtId="38" fontId="4" fillId="8" borderId="25" xfId="7" applyNumberFormat="1" applyFont="1" applyFill="1" applyBorder="1" applyAlignment="1">
      <alignment horizontal="center" wrapText="1"/>
    </xf>
    <xf numFmtId="38" fontId="4" fillId="0" borderId="25" xfId="7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6" fillId="10" borderId="22" xfId="7" applyNumberFormat="1" applyFont="1" applyFill="1" applyBorder="1" applyAlignment="1">
      <alignment horizontal="right" wrapText="1"/>
    </xf>
    <xf numFmtId="38" fontId="6" fillId="8" borderId="22" xfId="7" applyNumberFormat="1" applyFont="1" applyFill="1" applyBorder="1" applyAlignment="1">
      <alignment horizontal="right" wrapText="1"/>
    </xf>
    <xf numFmtId="38" fontId="6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6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7" fillId="0" borderId="0" xfId="9" applyFont="1" applyFill="1"/>
    <xf numFmtId="167" fontId="3" fillId="0" borderId="0" xfId="9" applyNumberFormat="1" applyFill="1"/>
    <xf numFmtId="167" fontId="3" fillId="0" borderId="0" xfId="10" applyNumberFormat="1" applyFill="1"/>
    <xf numFmtId="38" fontId="0" fillId="0" borderId="0" xfId="0" applyNumberFormat="1" applyBorder="1"/>
    <xf numFmtId="0" fontId="22" fillId="0" borderId="10" xfId="13" applyFont="1" applyFill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4" fillId="0" borderId="11" xfId="14" applyFont="1" applyFill="1" applyBorder="1" applyAlignment="1">
      <alignment wrapText="1"/>
    </xf>
    <xf numFmtId="0" fontId="22" fillId="0" borderId="11" xfId="14" applyFont="1" applyFill="1" applyBorder="1" applyAlignment="1">
      <alignment wrapText="1"/>
    </xf>
    <xf numFmtId="0" fontId="22" fillId="0" borderId="30" xfId="14" applyFont="1" applyFill="1" applyBorder="1" applyAlignment="1">
      <alignment wrapText="1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8" applyFont="1" applyAlignment="1">
      <alignment horizontal="left"/>
    </xf>
    <xf numFmtId="0" fontId="26" fillId="0" borderId="0" xfId="18" applyFont="1" applyFill="1" applyAlignment="1">
      <alignment horizontal="left"/>
    </xf>
    <xf numFmtId="0" fontId="25" fillId="0" borderId="0" xfId="18" applyAlignment="1">
      <alignment horizontal="centerContinuous"/>
    </xf>
    <xf numFmtId="0" fontId="25" fillId="0" borderId="0" xfId="18"/>
    <xf numFmtId="0" fontId="25" fillId="5" borderId="23" xfId="18" applyFill="1" applyBorder="1"/>
    <xf numFmtId="0" fontId="27" fillId="0" borderId="31" xfId="18" applyFont="1" applyFill="1" applyBorder="1" applyAlignment="1">
      <alignment horizontal="center"/>
    </xf>
    <xf numFmtId="0" fontId="25" fillId="0" borderId="31" xfId="18" applyBorder="1"/>
    <xf numFmtId="0" fontId="27" fillId="0" borderId="31" xfId="18" applyFont="1" applyBorder="1" applyAlignment="1">
      <alignment horizontal="center"/>
    </xf>
    <xf numFmtId="0" fontId="7" fillId="0" borderId="32" xfId="18" applyNumberFormat="1" applyFont="1" applyBorder="1" applyAlignment="1" applyProtection="1">
      <alignment horizontal="left"/>
      <protection locked="0"/>
    </xf>
    <xf numFmtId="3" fontId="7" fillId="10" borderId="32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11" borderId="32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32" xfId="18" applyNumberFormat="1" applyFont="1" applyFill="1" applyBorder="1" applyAlignment="1" applyProtection="1">
      <alignment horizontal="center" vertical="center" wrapText="1"/>
      <protection locked="0"/>
    </xf>
    <xf numFmtId="3" fontId="7" fillId="11" borderId="32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18" applyFont="1" applyBorder="1" applyAlignment="1" applyProtection="1">
      <alignment horizontal="center" vertical="center" wrapText="1"/>
      <protection locked="0"/>
    </xf>
    <xf numFmtId="0" fontId="7" fillId="10" borderId="32" xfId="18" applyFont="1" applyFill="1" applyBorder="1" applyAlignment="1" applyProtection="1">
      <alignment horizontal="center" vertical="center" wrapText="1"/>
      <protection locked="0"/>
    </xf>
    <xf numFmtId="0" fontId="7" fillId="11" borderId="32" xfId="18" applyFont="1" applyFill="1" applyBorder="1" applyAlignment="1" applyProtection="1">
      <alignment horizontal="center" vertical="center" wrapText="1"/>
      <protection locked="0"/>
    </xf>
    <xf numFmtId="3" fontId="7" fillId="0" borderId="33" xfId="18" applyNumberFormat="1" applyFont="1" applyBorder="1" applyAlignment="1" applyProtection="1">
      <alignment horizontal="center" vertical="center" wrapText="1"/>
      <protection locked="0"/>
    </xf>
    <xf numFmtId="0" fontId="3" fillId="0" borderId="0" xfId="18" applyFont="1" applyAlignment="1" applyProtection="1">
      <alignment horizontal="right"/>
      <protection locked="0"/>
    </xf>
    <xf numFmtId="0" fontId="6" fillId="0" borderId="23" xfId="19" applyFont="1" applyFill="1" applyBorder="1" applyAlignment="1">
      <alignment wrapText="1"/>
    </xf>
    <xf numFmtId="3" fontId="3" fillId="10" borderId="34" xfId="18" quotePrefix="1" applyNumberFormat="1" applyFont="1" applyFill="1" applyBorder="1" applyProtection="1">
      <protection locked="0"/>
    </xf>
    <xf numFmtId="3" fontId="3" fillId="11" borderId="34" xfId="18" quotePrefix="1" applyNumberFormat="1" applyFont="1" applyFill="1" applyBorder="1" applyProtection="1">
      <protection locked="0"/>
    </xf>
    <xf numFmtId="3" fontId="3" fillId="0" borderId="34" xfId="18" quotePrefix="1" applyNumberFormat="1" applyFont="1" applyFill="1" applyBorder="1" applyProtection="1">
      <protection locked="0"/>
    </xf>
    <xf numFmtId="3" fontId="3" fillId="0" borderId="35" xfId="18" applyNumberFormat="1" applyFont="1" applyFill="1" applyBorder="1" applyProtection="1">
      <protection locked="0"/>
    </xf>
    <xf numFmtId="167" fontId="3" fillId="0" borderId="36" xfId="20" applyNumberFormat="1" applyFont="1" applyBorder="1" applyProtection="1">
      <protection locked="0"/>
    </xf>
    <xf numFmtId="1" fontId="3" fillId="10" borderId="30" xfId="18" applyNumberFormat="1" applyFont="1" applyFill="1" applyBorder="1" applyProtection="1">
      <protection locked="0"/>
    </xf>
    <xf numFmtId="1" fontId="3" fillId="11" borderId="30" xfId="18" applyNumberFormat="1" applyFont="1" applyFill="1" applyBorder="1" applyProtection="1">
      <protection locked="0"/>
    </xf>
    <xf numFmtId="3" fontId="3" fillId="10" borderId="30" xfId="18" applyNumberFormat="1" applyFont="1" applyFill="1" applyBorder="1" applyProtection="1">
      <protection locked="0"/>
    </xf>
    <xf numFmtId="167" fontId="3" fillId="0" borderId="23" xfId="20" applyNumberFormat="1" applyFont="1" applyBorder="1" applyProtection="1">
      <protection locked="0"/>
    </xf>
    <xf numFmtId="0" fontId="3" fillId="0" borderId="0" xfId="18" applyFont="1" applyProtection="1">
      <protection locked="0"/>
    </xf>
    <xf numFmtId="0" fontId="3" fillId="0" borderId="37" xfId="18" quotePrefix="1" applyNumberFormat="1" applyFont="1" applyBorder="1" applyProtection="1">
      <protection locked="0"/>
    </xf>
    <xf numFmtId="3" fontId="3" fillId="0" borderId="28" xfId="18" quotePrefix="1" applyNumberFormat="1" applyFont="1" applyFill="1" applyBorder="1" applyProtection="1">
      <protection locked="0"/>
    </xf>
    <xf numFmtId="3" fontId="3" fillId="11" borderId="28" xfId="18" quotePrefix="1" applyNumberFormat="1" applyFont="1" applyFill="1" applyBorder="1" applyProtection="1">
      <protection locked="0"/>
    </xf>
    <xf numFmtId="3" fontId="3" fillId="0" borderId="23" xfId="18" applyNumberFormat="1" applyFont="1" applyFill="1" applyBorder="1" applyProtection="1">
      <protection locked="0"/>
    </xf>
    <xf numFmtId="1" fontId="3" fillId="10" borderId="23" xfId="18" applyNumberFormat="1" applyFont="1" applyFill="1" applyBorder="1" applyProtection="1">
      <protection locked="0"/>
    </xf>
    <xf numFmtId="168" fontId="3" fillId="11" borderId="23" xfId="21" applyNumberFormat="1" applyFont="1" applyFill="1" applyBorder="1" applyProtection="1">
      <protection locked="0"/>
    </xf>
    <xf numFmtId="3" fontId="3" fillId="10" borderId="23" xfId="18" applyNumberFormat="1" applyFont="1" applyFill="1" applyBorder="1" applyProtection="1">
      <protection locked="0"/>
    </xf>
    <xf numFmtId="0" fontId="3" fillId="0" borderId="37" xfId="18" quotePrefix="1" applyNumberFormat="1" applyFont="1" applyBorder="1" applyAlignment="1" applyProtection="1">
      <alignment horizontal="left"/>
      <protection locked="0"/>
    </xf>
    <xf numFmtId="0" fontId="7" fillId="0" borderId="38" xfId="18" applyNumberFormat="1" applyFont="1" applyBorder="1" applyProtection="1">
      <protection locked="0"/>
    </xf>
    <xf numFmtId="3" fontId="7" fillId="10" borderId="23" xfId="18" quotePrefix="1" applyNumberFormat="1" applyFont="1" applyFill="1" applyBorder="1" applyProtection="1">
      <protection locked="0"/>
    </xf>
    <xf numFmtId="3" fontId="7" fillId="11" borderId="23" xfId="18" quotePrefix="1" applyNumberFormat="1" applyFont="1" applyFill="1" applyBorder="1" applyProtection="1">
      <protection locked="0"/>
    </xf>
    <xf numFmtId="3" fontId="7" fillId="0" borderId="23" xfId="18" quotePrefix="1" applyNumberFormat="1" applyFont="1" applyFill="1" applyBorder="1" applyProtection="1">
      <protection locked="0"/>
    </xf>
    <xf numFmtId="3" fontId="7" fillId="0" borderId="23" xfId="18" applyNumberFormat="1" applyFont="1" applyFill="1" applyBorder="1" applyProtection="1">
      <protection locked="0"/>
    </xf>
    <xf numFmtId="167" fontId="7" fillId="0" borderId="23" xfId="20" quotePrefix="1" applyNumberFormat="1" applyFont="1" applyBorder="1" applyProtection="1">
      <protection locked="0"/>
    </xf>
    <xf numFmtId="1" fontId="7" fillId="10" borderId="23" xfId="18" applyNumberFormat="1" applyFont="1" applyFill="1" applyBorder="1" applyProtection="1">
      <protection locked="0"/>
    </xf>
    <xf numFmtId="168" fontId="7" fillId="11" borderId="23" xfId="21" applyNumberFormat="1" applyFont="1" applyFill="1" applyBorder="1" applyProtection="1">
      <protection locked="0"/>
    </xf>
    <xf numFmtId="3" fontId="7" fillId="10" borderId="23" xfId="18" applyNumberFormat="1" applyFont="1" applyFill="1" applyBorder="1" applyProtection="1">
      <protection locked="0"/>
    </xf>
    <xf numFmtId="0" fontId="3" fillId="0" borderId="37" xfId="18" applyNumberFormat="1" applyFont="1" applyBorder="1" applyAlignment="1" applyProtection="1">
      <alignment horizontal="left" indent="2"/>
      <protection locked="0"/>
    </xf>
    <xf numFmtId="0" fontId="3" fillId="0" borderId="39" xfId="18" quotePrefix="1" applyNumberFormat="1" applyFont="1" applyBorder="1" applyProtection="1">
      <protection locked="0"/>
    </xf>
    <xf numFmtId="167" fontId="3" fillId="0" borderId="31" xfId="20" applyNumberFormat="1" applyFont="1" applyBorder="1" applyProtection="1">
      <protection locked="0"/>
    </xf>
    <xf numFmtId="1" fontId="3" fillId="11" borderId="23" xfId="18" applyNumberFormat="1" applyFont="1" applyFill="1" applyBorder="1" applyProtection="1">
      <protection locked="0"/>
    </xf>
    <xf numFmtId="0" fontId="7" fillId="0" borderId="40" xfId="18" applyNumberFormat="1" applyFont="1" applyBorder="1" applyProtection="1">
      <protection locked="0"/>
    </xf>
    <xf numFmtId="3" fontId="7" fillId="10" borderId="41" xfId="18" applyNumberFormat="1" applyFont="1" applyFill="1" applyBorder="1" applyProtection="1">
      <protection locked="0"/>
    </xf>
    <xf numFmtId="3" fontId="7" fillId="11" borderId="41" xfId="18" applyNumberFormat="1" applyFont="1" applyFill="1" applyBorder="1" applyProtection="1">
      <protection locked="0"/>
    </xf>
    <xf numFmtId="3" fontId="7" fillId="0" borderId="41" xfId="18" applyNumberFormat="1" applyFont="1" applyFill="1" applyBorder="1" applyProtection="1">
      <protection locked="0"/>
    </xf>
    <xf numFmtId="167" fontId="7" fillId="0" borderId="42" xfId="20" applyNumberFormat="1" applyFont="1" applyBorder="1" applyProtection="1">
      <protection locked="0"/>
    </xf>
    <xf numFmtId="0" fontId="7" fillId="0" borderId="0" xfId="18" applyFont="1" applyProtection="1">
      <protection locked="0"/>
    </xf>
    <xf numFmtId="0" fontId="7" fillId="0" borderId="0" xfId="18" applyNumberFormat="1" applyFont="1" applyBorder="1" applyProtection="1">
      <protection locked="0"/>
    </xf>
    <xf numFmtId="3" fontId="3" fillId="0" borderId="0" xfId="18" applyNumberFormat="1" applyFont="1" applyBorder="1" applyProtection="1">
      <protection locked="0"/>
    </xf>
    <xf numFmtId="3" fontId="3" fillId="0" borderId="0" xfId="18" applyNumberFormat="1" applyFont="1" applyFill="1" applyBorder="1" applyProtection="1">
      <protection locked="0"/>
    </xf>
    <xf numFmtId="0" fontId="3" fillId="0" borderId="0" xfId="18" applyFont="1" applyFill="1" applyProtection="1">
      <protection locked="0"/>
    </xf>
    <xf numFmtId="167" fontId="3" fillId="0" borderId="0" xfId="20" applyNumberFormat="1" applyFont="1" applyProtection="1">
      <protection locked="0"/>
    </xf>
    <xf numFmtId="0" fontId="7" fillId="0" borderId="32" xfId="18" applyNumberFormat="1" applyFont="1" applyBorder="1" applyProtection="1">
      <protection locked="0"/>
    </xf>
    <xf numFmtId="3" fontId="3" fillId="0" borderId="43" xfId="18" quotePrefix="1" applyNumberFormat="1" applyFont="1" applyBorder="1" applyProtection="1">
      <protection locked="0"/>
    </xf>
    <xf numFmtId="3" fontId="3" fillId="0" borderId="43" xfId="18" quotePrefix="1" applyNumberFormat="1" applyFont="1" applyFill="1" applyBorder="1" applyProtection="1">
      <protection locked="0"/>
    </xf>
    <xf numFmtId="3" fontId="3" fillId="0" borderId="0" xfId="18" quotePrefix="1" applyNumberFormat="1" applyFont="1" applyFill="1" applyBorder="1" applyProtection="1">
      <protection locked="0"/>
    </xf>
    <xf numFmtId="0" fontId="3" fillId="0" borderId="0" xfId="18" applyFont="1" applyFill="1" applyBorder="1" applyProtection="1">
      <protection locked="0"/>
    </xf>
    <xf numFmtId="0" fontId="3" fillId="0" borderId="0" xfId="18" applyFont="1" applyBorder="1" applyProtection="1">
      <protection locked="0"/>
    </xf>
    <xf numFmtId="0" fontId="3" fillId="0" borderId="34" xfId="18" quotePrefix="1" applyNumberFormat="1" applyFont="1" applyBorder="1" applyProtection="1">
      <protection locked="0"/>
    </xf>
    <xf numFmtId="3" fontId="3" fillId="0" borderId="36" xfId="18" quotePrefix="1" applyNumberFormat="1" applyFont="1" applyFill="1" applyBorder="1" applyProtection="1">
      <protection locked="0"/>
    </xf>
    <xf numFmtId="3" fontId="3" fillId="11" borderId="36" xfId="18" quotePrefix="1" applyNumberFormat="1" applyFont="1" applyFill="1" applyBorder="1" applyProtection="1">
      <protection locked="0"/>
    </xf>
    <xf numFmtId="3" fontId="3" fillId="0" borderId="36" xfId="18" applyNumberFormat="1" applyFont="1" applyFill="1" applyBorder="1" applyProtection="1">
      <protection locked="0"/>
    </xf>
    <xf numFmtId="167" fontId="3" fillId="0" borderId="10" xfId="20" applyNumberFormat="1" applyFont="1" applyBorder="1" applyProtection="1">
      <protection locked="0"/>
    </xf>
    <xf numFmtId="3" fontId="7" fillId="12" borderId="41" xfId="18" applyNumberFormat="1" applyFont="1" applyFill="1" applyBorder="1" applyProtection="1">
      <protection locked="0"/>
    </xf>
    <xf numFmtId="0" fontId="7" fillId="0" borderId="44" xfId="18" applyNumberFormat="1" applyFont="1" applyBorder="1" applyProtection="1">
      <protection locked="0"/>
    </xf>
    <xf numFmtId="3" fontId="7" fillId="10" borderId="44" xfId="18" applyNumberFormat="1" applyFont="1" applyFill="1" applyBorder="1" applyProtection="1">
      <protection locked="0"/>
    </xf>
    <xf numFmtId="3" fontId="7" fillId="11" borderId="44" xfId="18" applyNumberFormat="1" applyFont="1" applyFill="1" applyBorder="1" applyProtection="1">
      <protection locked="0"/>
    </xf>
    <xf numFmtId="3" fontId="7" fillId="0" borderId="44" xfId="18" applyNumberFormat="1" applyFont="1" applyFill="1" applyBorder="1" applyProtection="1">
      <protection locked="0"/>
    </xf>
    <xf numFmtId="167" fontId="7" fillId="0" borderId="44" xfId="20" applyNumberFormat="1" applyFont="1" applyBorder="1" applyProtection="1">
      <protection locked="0"/>
    </xf>
    <xf numFmtId="0" fontId="7" fillId="0" borderId="45" xfId="18" applyFont="1" applyBorder="1"/>
    <xf numFmtId="0" fontId="25" fillId="0" borderId="46" xfId="18" applyBorder="1"/>
    <xf numFmtId="0" fontId="25" fillId="0" borderId="47" xfId="18" applyBorder="1"/>
    <xf numFmtId="0" fontId="25" fillId="0" borderId="48" xfId="18" applyFill="1" applyBorder="1"/>
    <xf numFmtId="0" fontId="25" fillId="0" borderId="48" xfId="18" applyBorder="1"/>
    <xf numFmtId="1" fontId="3" fillId="0" borderId="30" xfId="18" applyNumberFormat="1" applyFont="1" applyBorder="1" applyProtection="1">
      <protection locked="0"/>
    </xf>
    <xf numFmtId="1" fontId="3" fillId="0" borderId="0" xfId="18" applyNumberFormat="1" applyFont="1" applyBorder="1" applyProtection="1">
      <protection locked="0"/>
    </xf>
    <xf numFmtId="0" fontId="25" fillId="0" borderId="0" xfId="18" applyFill="1"/>
    <xf numFmtId="3" fontId="25" fillId="0" borderId="0" xfId="18" applyNumberFormat="1"/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3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0" applyNumberFormat="1" applyFill="1" applyBorder="1"/>
    <xf numFmtId="3" fontId="3" fillId="6" borderId="19" xfId="1" applyNumberFormat="1" applyFont="1" applyFill="1" applyBorder="1"/>
    <xf numFmtId="168" fontId="0" fillId="9" borderId="0" xfId="1" applyNumberFormat="1" applyFont="1" applyFill="1"/>
    <xf numFmtId="167" fontId="8" fillId="0" borderId="0" xfId="9" applyNumberFormat="1" applyFont="1" applyFill="1" applyBorder="1" applyAlignment="1">
      <alignment horizontal="center"/>
    </xf>
    <xf numFmtId="10" fontId="3" fillId="0" borderId="23" xfId="10" applyNumberFormat="1" applyFill="1" applyBorder="1" applyAlignment="1">
      <alignment horizontal="right"/>
    </xf>
    <xf numFmtId="0" fontId="7" fillId="12" borderId="19" xfId="0" applyFont="1" applyFill="1" applyBorder="1" applyAlignment="1">
      <alignment horizontal="center" wrapText="1"/>
    </xf>
    <xf numFmtId="0" fontId="0" fillId="12" borderId="0" xfId="0" applyFill="1"/>
    <xf numFmtId="168" fontId="3" fillId="13" borderId="19" xfId="1" applyNumberFormat="1" applyFont="1" applyFill="1" applyBorder="1"/>
    <xf numFmtId="168" fontId="3" fillId="12" borderId="19" xfId="1" applyNumberFormat="1" applyFont="1" applyFill="1" applyBorder="1"/>
    <xf numFmtId="0" fontId="21" fillId="0" borderId="0" xfId="22" applyFont="1"/>
    <xf numFmtId="167" fontId="21" fillId="0" borderId="0" xfId="22" applyNumberFormat="1" applyFont="1"/>
    <xf numFmtId="0" fontId="20" fillId="0" borderId="23" xfId="22" applyFont="1" applyBorder="1" applyAlignment="1">
      <alignment wrapText="1"/>
    </xf>
    <xf numFmtId="167" fontId="20" fillId="0" borderId="27" xfId="22" applyNumberFormat="1" applyFont="1" applyBorder="1" applyAlignment="1">
      <alignment horizontal="center" vertical="center" wrapText="1"/>
    </xf>
    <xf numFmtId="0" fontId="21" fillId="0" borderId="0" xfId="22" applyFont="1" applyAlignment="1">
      <alignment wrapText="1"/>
    </xf>
    <xf numFmtId="0" fontId="21" fillId="0" borderId="11" xfId="22" applyFont="1" applyBorder="1"/>
    <xf numFmtId="0" fontId="21" fillId="0" borderId="10" xfId="22" applyFont="1" applyBorder="1"/>
    <xf numFmtId="171" fontId="21" fillId="0" borderId="10" xfId="22" applyNumberFormat="1" applyFont="1" applyBorder="1"/>
    <xf numFmtId="171" fontId="21" fillId="0" borderId="11" xfId="24" applyNumberFormat="1" applyFont="1" applyBorder="1"/>
    <xf numFmtId="171" fontId="21" fillId="0" borderId="11" xfId="22" applyNumberFormat="1" applyFont="1" applyBorder="1"/>
    <xf numFmtId="0" fontId="20" fillId="0" borderId="11" xfId="22" applyFont="1" applyBorder="1"/>
    <xf numFmtId="171" fontId="20" fillId="0" borderId="11" xfId="24" applyNumberFormat="1" applyFont="1" applyBorder="1"/>
    <xf numFmtId="171" fontId="20" fillId="0" borderId="11" xfId="22" applyNumberFormat="1" applyFont="1" applyBorder="1"/>
    <xf numFmtId="171" fontId="20" fillId="0" borderId="30" xfId="24" applyNumberFormat="1" applyFont="1" applyBorder="1"/>
    <xf numFmtId="0" fontId="20" fillId="0" borderId="30" xfId="22" applyFont="1" applyBorder="1"/>
    <xf numFmtId="167" fontId="20" fillId="0" borderId="30" xfId="22" applyNumberFormat="1" applyFont="1" applyBorder="1"/>
    <xf numFmtId="3" fontId="21" fillId="0" borderId="0" xfId="22" applyNumberFormat="1" applyFont="1"/>
    <xf numFmtId="3" fontId="20" fillId="0" borderId="23" xfId="22" applyNumberFormat="1" applyFont="1" applyBorder="1" applyAlignment="1">
      <alignment horizontal="center" vertical="center" wrapText="1"/>
    </xf>
    <xf numFmtId="167" fontId="20" fillId="0" borderId="23" xfId="22" applyNumberFormat="1" applyFont="1" applyBorder="1" applyAlignment="1">
      <alignment horizontal="center" vertical="center" wrapText="1"/>
    </xf>
    <xf numFmtId="4" fontId="20" fillId="0" borderId="23" xfId="22" applyNumberFormat="1" applyFont="1" applyBorder="1" applyAlignment="1">
      <alignment horizontal="center" vertical="center" wrapText="1"/>
    </xf>
    <xf numFmtId="167" fontId="20" fillId="0" borderId="24" xfId="22" applyNumberFormat="1" applyFont="1" applyBorder="1" applyAlignment="1">
      <alignment horizontal="center" vertical="center" wrapText="1"/>
    </xf>
    <xf numFmtId="3" fontId="21" fillId="0" borderId="11" xfId="22" applyNumberFormat="1" applyFont="1" applyBorder="1"/>
    <xf numFmtId="167" fontId="21" fillId="0" borderId="11" xfId="22" applyNumberFormat="1" applyFont="1" applyBorder="1"/>
    <xf numFmtId="171" fontId="21" fillId="0" borderId="17" xfId="24" applyNumberFormat="1" applyFont="1" applyBorder="1"/>
    <xf numFmtId="3" fontId="20" fillId="0" borderId="11" xfId="22" applyNumberFormat="1" applyFont="1" applyBorder="1"/>
    <xf numFmtId="167" fontId="20" fillId="0" borderId="11" xfId="22" applyNumberFormat="1" applyFont="1" applyBorder="1"/>
    <xf numFmtId="171" fontId="20" fillId="0" borderId="17" xfId="24" applyNumberFormat="1" applyFont="1" applyBorder="1"/>
    <xf numFmtId="3" fontId="20" fillId="0" borderId="30" xfId="22" applyNumberFormat="1" applyFont="1" applyBorder="1"/>
    <xf numFmtId="171" fontId="20" fillId="0" borderId="49" xfId="24" applyNumberFormat="1" applyFont="1" applyBorder="1"/>
    <xf numFmtId="0" fontId="20" fillId="0" borderId="13" xfId="22" applyFont="1" applyBorder="1"/>
    <xf numFmtId="3" fontId="20" fillId="0" borderId="26" xfId="22" applyNumberFormat="1" applyFont="1" applyBorder="1"/>
    <xf numFmtId="167" fontId="20" fillId="0" borderId="26" xfId="22" applyNumberFormat="1" applyFont="1" applyBorder="1"/>
    <xf numFmtId="171" fontId="20" fillId="0" borderId="23" xfId="24" applyNumberFormat="1" applyFont="1" applyBorder="1"/>
    <xf numFmtId="0" fontId="24" fillId="0" borderId="10" xfId="14" applyFont="1" applyFill="1" applyBorder="1" applyAlignment="1">
      <alignment wrapText="1"/>
    </xf>
    <xf numFmtId="167" fontId="24" fillId="0" borderId="10" xfId="25" applyNumberFormat="1" applyFont="1" applyFill="1" applyBorder="1" applyAlignment="1">
      <alignment horizontal="right" wrapText="1"/>
    </xf>
    <xf numFmtId="168" fontId="21" fillId="0" borderId="0" xfId="23" applyNumberFormat="1" applyFont="1"/>
    <xf numFmtId="167" fontId="24" fillId="0" borderId="11" xfId="25" applyNumberFormat="1" applyFont="1" applyFill="1" applyBorder="1" applyAlignment="1">
      <alignment horizontal="right" wrapText="1"/>
    </xf>
    <xf numFmtId="0" fontId="22" fillId="0" borderId="11" xfId="17" applyFont="1" applyFill="1" applyBorder="1" applyAlignment="1">
      <alignment wrapText="1"/>
    </xf>
    <xf numFmtId="167" fontId="22" fillId="0" borderId="11" xfId="25" applyNumberFormat="1" applyFont="1" applyFill="1" applyBorder="1" applyAlignment="1">
      <alignment horizontal="right" wrapText="1"/>
    </xf>
    <xf numFmtId="168" fontId="20" fillId="0" borderId="0" xfId="23" applyNumberFormat="1" applyFont="1"/>
    <xf numFmtId="168" fontId="20" fillId="0" borderId="11" xfId="23" applyNumberFormat="1" applyFont="1" applyBorder="1"/>
    <xf numFmtId="167" fontId="22" fillId="0" borderId="30" xfId="25" applyNumberFormat="1" applyFont="1" applyFill="1" applyBorder="1" applyAlignment="1">
      <alignment horizontal="right" wrapText="1"/>
    </xf>
    <xf numFmtId="168" fontId="21" fillId="0" borderId="30" xfId="23" applyNumberFormat="1" applyFont="1" applyBorder="1"/>
    <xf numFmtId="0" fontId="20" fillId="0" borderId="26" xfId="22" applyFont="1" applyBorder="1"/>
    <xf numFmtId="0" fontId="24" fillId="0" borderId="11" xfId="14" applyFont="1" applyFill="1" applyBorder="1" applyAlignment="1"/>
    <xf numFmtId="38" fontId="6" fillId="0" borderId="9" xfId="7" applyNumberFormat="1" applyFont="1" applyFill="1" applyBorder="1" applyAlignment="1">
      <alignment horizontal="right" wrapText="1"/>
    </xf>
    <xf numFmtId="168" fontId="6" fillId="0" borderId="7" xfId="5" applyNumberFormat="1" applyFont="1" applyFill="1" applyBorder="1" applyAlignment="1">
      <alignment horizontal="right" wrapText="1"/>
    </xf>
    <xf numFmtId="168" fontId="6" fillId="0" borderId="9" xfId="7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27" fillId="0" borderId="0" xfId="18" applyFont="1" applyAlignment="1">
      <alignment horizontal="centerContinuous"/>
    </xf>
    <xf numFmtId="6" fontId="7" fillId="0" borderId="0" xfId="0" applyNumberFormat="1" applyFont="1" applyFill="1"/>
    <xf numFmtId="0" fontId="20" fillId="0" borderId="0" xfId="22" applyFont="1" applyAlignment="1">
      <alignment horizontal="right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10" fontId="7" fillId="0" borderId="0" xfId="10" applyNumberFormat="1" applyFont="1" applyFill="1" applyAlignment="1">
      <alignment horizontal="right"/>
    </xf>
    <xf numFmtId="0" fontId="28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68" fontId="0" fillId="9" borderId="23" xfId="1" applyNumberFormat="1" applyFont="1" applyFill="1" applyBorder="1"/>
    <xf numFmtId="0" fontId="4" fillId="8" borderId="22" xfId="7" applyFont="1" applyFill="1" applyBorder="1" applyAlignment="1">
      <alignment horizontal="center" wrapText="1"/>
    </xf>
    <xf numFmtId="38" fontId="4" fillId="8" borderId="0" xfId="7" applyNumberFormat="1" applyFont="1" applyFill="1" applyBorder="1" applyAlignment="1">
      <alignment horizontal="center" wrapText="1"/>
    </xf>
    <xf numFmtId="3" fontId="0" fillId="8" borderId="23" xfId="0" applyNumberFormat="1" applyFill="1" applyBorder="1"/>
    <xf numFmtId="0" fontId="21" fillId="0" borderId="0" xfId="0" applyFont="1"/>
    <xf numFmtId="0" fontId="20" fillId="0" borderId="2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0" borderId="23" xfId="26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167" fontId="21" fillId="0" borderId="11" xfId="9" applyNumberFormat="1" applyFont="1" applyBorder="1"/>
    <xf numFmtId="167" fontId="20" fillId="0" borderId="11" xfId="9" applyNumberFormat="1" applyFont="1" applyBorder="1"/>
    <xf numFmtId="38" fontId="6" fillId="0" borderId="22" xfId="1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3" fontId="0" fillId="4" borderId="0" xfId="9" applyNumberFormat="1" applyFont="1" applyFill="1"/>
    <xf numFmtId="3" fontId="0" fillId="4" borderId="0" xfId="1" applyNumberFormat="1" applyFont="1" applyFill="1"/>
    <xf numFmtId="38" fontId="0" fillId="4" borderId="0" xfId="9" applyNumberFormat="1" applyFont="1" applyFill="1"/>
    <xf numFmtId="38" fontId="7" fillId="0" borderId="13" xfId="0" applyNumberFormat="1" applyFont="1" applyFill="1" applyBorder="1" applyAlignment="1">
      <alignment horizontal="center"/>
    </xf>
    <xf numFmtId="38" fontId="7" fillId="0" borderId="23" xfId="0" applyNumberFormat="1" applyFont="1" applyFill="1" applyBorder="1" applyAlignment="1">
      <alignment horizontal="center" wrapText="1"/>
    </xf>
    <xf numFmtId="38" fontId="6" fillId="0" borderId="50" xfId="5" applyNumberFormat="1" applyFont="1" applyFill="1" applyBorder="1" applyAlignment="1">
      <alignment horizontal="center"/>
    </xf>
    <xf numFmtId="167" fontId="29" fillId="0" borderId="0" xfId="0" applyNumberFormat="1" applyFont="1" applyFill="1"/>
    <xf numFmtId="0" fontId="7" fillId="9" borderId="51" xfId="0" applyFont="1" applyFill="1" applyBorder="1" applyAlignment="1">
      <alignment horizontal="center" wrapText="1"/>
    </xf>
    <xf numFmtId="3" fontId="3" fillId="5" borderId="0" xfId="0" applyNumberFormat="1" applyFont="1" applyFill="1"/>
    <xf numFmtId="168" fontId="6" fillId="0" borderId="8" xfId="1" applyNumberFormat="1" applyFont="1" applyFill="1" applyBorder="1" applyAlignment="1">
      <alignment horizontal="right" wrapText="1"/>
    </xf>
    <xf numFmtId="9" fontId="0" fillId="0" borderId="0" xfId="9" applyFont="1"/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8" applyFont="1" applyAlignment="1">
      <alignment horizontal="left"/>
    </xf>
    <xf numFmtId="0" fontId="7" fillId="0" borderId="0" xfId="18" applyFont="1" applyFill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22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27">
    <cellStyle name="Comma" xfId="1" builtinId="3"/>
    <cellStyle name="Comma 2" xfId="16"/>
    <cellStyle name="Comma 3" xfId="21"/>
    <cellStyle name="Comma 4" xfId="23"/>
    <cellStyle name="Currency" xfId="2" builtinId="4"/>
    <cellStyle name="Currency 2" xfId="12"/>
    <cellStyle name="Currency 3" xfId="24"/>
    <cellStyle name="Normal" xfId="0" builtinId="0"/>
    <cellStyle name="Normal 2" xfId="10"/>
    <cellStyle name="Normal 3" xfId="11"/>
    <cellStyle name="Normal 4" xfId="18"/>
    <cellStyle name="Normal 5" xfId="22"/>
    <cellStyle name="Normal_Academic Support Per FYE" xfId="3"/>
    <cellStyle name="Normal_Denominator 2" xfId="26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19"/>
    <cellStyle name="Normal_Sheet2" xfId="8"/>
    <cellStyle name="Normal_Sheet2 2" xfId="17"/>
    <cellStyle name="Normal_Sheet3" xfId="14"/>
    <cellStyle name="Percent" xfId="9" builtinId="5"/>
    <cellStyle name="Percent 2" xfId="15"/>
    <cellStyle name="Percent 3" xfId="20"/>
    <cellStyle name="Percent 4" xfId="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6%20meetings/Analysis/Student%20and%20Institutional/Summary%20of%20FY2017%20Institutional%20Allocations%20FOR%20ANALYSIS%20ONE%20YE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argain/000_Allocation%20Framework/TAC/FY2017%20meetings/Analysis/Transition/FY2017%20Institutional%20Allocations%20for%20analysis%20all%20recs%20except%20student%20success_092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f2"/>
      <sheetName val="Alloc Differ 1"/>
      <sheetName val="FY15 Detail"/>
      <sheetName val="Instruction"/>
      <sheetName val="Academic Support Per FYE"/>
      <sheetName val="Facilities"/>
      <sheetName val="Student &amp; Institutional Support"/>
      <sheetName val="Library"/>
      <sheetName val="Research"/>
      <sheetName val="Enrollment"/>
      <sheetName val="Enrollment Detail"/>
      <sheetName val="Revenue Offset"/>
    </sheetNames>
    <sheetDataSet>
      <sheetData sheetId="0">
        <row r="40">
          <cell r="B40" t="str">
            <v>MnSCU Finance Division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6" activePane="bottomRight" state="frozen"/>
      <selection activeCell="F2" sqref="F2"/>
      <selection pane="topRight" activeCell="F2" sqref="F2"/>
      <selection pane="bottomLeft" activeCell="F2" sqref="F2"/>
      <selection pane="bottomRight" activeCell="D6" sqref="D6:D35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4" customWidth="1"/>
  </cols>
  <sheetData>
    <row r="1" spans="1:4" s="15" customFormat="1" ht="15.75" x14ac:dyDescent="0.25">
      <c r="A1" s="21"/>
      <c r="B1" s="39"/>
      <c r="D1" s="177"/>
    </row>
    <row r="2" spans="1:4" s="15" customFormat="1" ht="24.75" customHeight="1" x14ac:dyDescent="0.2">
      <c r="A2" s="21"/>
      <c r="B2" s="21"/>
      <c r="C2" s="21"/>
      <c r="D2" s="91"/>
    </row>
    <row r="3" spans="1:4" s="15" customFormat="1" x14ac:dyDescent="0.2">
      <c r="A3" s="29"/>
      <c r="B3" s="19"/>
      <c r="C3" s="19"/>
      <c r="D3" s="178"/>
    </row>
    <row r="4" spans="1:4" ht="92.25" customHeight="1" x14ac:dyDescent="0.2">
      <c r="B4" s="1" t="s">
        <v>0</v>
      </c>
      <c r="C4" s="1" t="s">
        <v>1</v>
      </c>
      <c r="D4" s="179" t="s">
        <v>304</v>
      </c>
    </row>
    <row r="5" spans="1:4" x14ac:dyDescent="0.2">
      <c r="B5" s="2"/>
      <c r="C5" s="2"/>
      <c r="D5" s="180"/>
    </row>
    <row r="6" spans="1:4" x14ac:dyDescent="0.2">
      <c r="A6">
        <v>1</v>
      </c>
      <c r="B6" s="10" t="s">
        <v>2</v>
      </c>
      <c r="C6" s="3" t="s">
        <v>3</v>
      </c>
    </row>
    <row r="7" spans="1:4" s="54" customFormat="1" x14ac:dyDescent="0.2">
      <c r="A7" s="54">
        <v>2</v>
      </c>
      <c r="B7" s="10" t="s">
        <v>4</v>
      </c>
      <c r="C7" s="3" t="s">
        <v>124</v>
      </c>
    </row>
    <row r="8" spans="1:4" ht="12" customHeight="1" x14ac:dyDescent="0.2">
      <c r="A8">
        <v>4</v>
      </c>
      <c r="B8" s="10" t="s">
        <v>5</v>
      </c>
      <c r="C8" s="3" t="s">
        <v>113</v>
      </c>
    </row>
    <row r="9" spans="1:4" x14ac:dyDescent="0.2">
      <c r="A9">
        <v>3</v>
      </c>
      <c r="B9" s="37" t="s">
        <v>6</v>
      </c>
      <c r="C9" s="3" t="s">
        <v>7</v>
      </c>
    </row>
    <row r="10" spans="1:4" x14ac:dyDescent="0.2">
      <c r="A10">
        <v>3</v>
      </c>
      <c r="B10" s="37" t="s">
        <v>8</v>
      </c>
      <c r="C10" s="3" t="s">
        <v>9</v>
      </c>
    </row>
    <row r="11" spans="1:4" x14ac:dyDescent="0.2">
      <c r="A11">
        <v>1</v>
      </c>
      <c r="B11" s="37" t="s">
        <v>10</v>
      </c>
      <c r="C11" s="3" t="s">
        <v>11</v>
      </c>
    </row>
    <row r="12" spans="1:4" x14ac:dyDescent="0.2">
      <c r="A12">
        <v>2</v>
      </c>
      <c r="B12" s="37" t="s">
        <v>12</v>
      </c>
      <c r="C12" s="3" t="s">
        <v>13</v>
      </c>
    </row>
    <row r="13" spans="1:4" x14ac:dyDescent="0.2">
      <c r="A13">
        <v>1</v>
      </c>
      <c r="B13" s="37" t="s">
        <v>14</v>
      </c>
      <c r="C13" s="3" t="s">
        <v>15</v>
      </c>
    </row>
    <row r="14" spans="1:4" x14ac:dyDescent="0.2">
      <c r="A14">
        <v>3</v>
      </c>
      <c r="B14" s="37" t="s">
        <v>16</v>
      </c>
      <c r="C14" s="3" t="s">
        <v>17</v>
      </c>
    </row>
    <row r="15" spans="1:4" x14ac:dyDescent="0.2">
      <c r="A15">
        <v>4</v>
      </c>
      <c r="B15" s="37" t="s">
        <v>18</v>
      </c>
      <c r="C15" s="3" t="s">
        <v>68</v>
      </c>
    </row>
    <row r="16" spans="1:4" x14ac:dyDescent="0.2">
      <c r="A16">
        <v>3</v>
      </c>
      <c r="B16" s="37" t="s">
        <v>19</v>
      </c>
      <c r="C16" s="3" t="s">
        <v>20</v>
      </c>
    </row>
    <row r="17" spans="1:3" ht="12" customHeight="1" x14ac:dyDescent="0.2">
      <c r="A17">
        <v>1</v>
      </c>
      <c r="B17" s="37" t="s">
        <v>21</v>
      </c>
      <c r="C17" s="3" t="s">
        <v>71</v>
      </c>
    </row>
    <row r="18" spans="1:3" ht="12" customHeight="1" x14ac:dyDescent="0.2">
      <c r="B18" s="37" t="s">
        <v>109</v>
      </c>
      <c r="C18" s="3" t="s">
        <v>112</v>
      </c>
    </row>
    <row r="19" spans="1:3" x14ac:dyDescent="0.2">
      <c r="A19">
        <v>4</v>
      </c>
      <c r="B19" s="37" t="s">
        <v>26</v>
      </c>
      <c r="C19" s="3" t="s">
        <v>62</v>
      </c>
    </row>
    <row r="20" spans="1:3" x14ac:dyDescent="0.2">
      <c r="A20">
        <v>4</v>
      </c>
      <c r="B20" s="37" t="s">
        <v>22</v>
      </c>
      <c r="C20" s="3" t="s">
        <v>23</v>
      </c>
    </row>
    <row r="21" spans="1:3" x14ac:dyDescent="0.2">
      <c r="A21">
        <v>3</v>
      </c>
      <c r="B21" s="37" t="s">
        <v>24</v>
      </c>
      <c r="C21" s="3" t="s">
        <v>25</v>
      </c>
    </row>
    <row r="22" spans="1:3" x14ac:dyDescent="0.2">
      <c r="A22">
        <v>2</v>
      </c>
      <c r="B22" s="37" t="s">
        <v>27</v>
      </c>
      <c r="C22" s="3" t="s">
        <v>28</v>
      </c>
    </row>
    <row r="23" spans="1:3" x14ac:dyDescent="0.2">
      <c r="A23">
        <v>2</v>
      </c>
      <c r="B23" s="37" t="s">
        <v>29</v>
      </c>
      <c r="C23" s="3" t="s">
        <v>30</v>
      </c>
    </row>
    <row r="24" spans="1:3" ht="12.75" customHeight="1" x14ac:dyDescent="0.2">
      <c r="A24">
        <v>3</v>
      </c>
      <c r="B24" s="37" t="s">
        <v>118</v>
      </c>
      <c r="C24" s="3" t="s">
        <v>63</v>
      </c>
    </row>
    <row r="25" spans="1:3" x14ac:dyDescent="0.2">
      <c r="A25">
        <v>3</v>
      </c>
      <c r="B25" s="37" t="s">
        <v>110</v>
      </c>
      <c r="C25" s="3" t="s">
        <v>32</v>
      </c>
    </row>
    <row r="26" spans="1:3" x14ac:dyDescent="0.2">
      <c r="A26">
        <v>1</v>
      </c>
      <c r="B26" s="37" t="s">
        <v>33</v>
      </c>
      <c r="C26" s="3" t="s">
        <v>34</v>
      </c>
    </row>
    <row r="27" spans="1:3" x14ac:dyDescent="0.2">
      <c r="A27">
        <v>3</v>
      </c>
      <c r="B27" s="37" t="s">
        <v>35</v>
      </c>
      <c r="C27" s="3" t="s">
        <v>36</v>
      </c>
    </row>
    <row r="28" spans="1:3" x14ac:dyDescent="0.2">
      <c r="A28">
        <v>3</v>
      </c>
      <c r="B28" s="37" t="s">
        <v>37</v>
      </c>
      <c r="C28" s="3" t="s">
        <v>38</v>
      </c>
    </row>
    <row r="29" spans="1:3" x14ac:dyDescent="0.2">
      <c r="A29">
        <v>3</v>
      </c>
      <c r="B29" s="37" t="s">
        <v>39</v>
      </c>
      <c r="C29" s="3" t="s">
        <v>40</v>
      </c>
    </row>
    <row r="30" spans="1:3" x14ac:dyDescent="0.2">
      <c r="A30">
        <v>1</v>
      </c>
      <c r="B30" s="37" t="s">
        <v>46</v>
      </c>
      <c r="C30" s="3" t="s">
        <v>70</v>
      </c>
    </row>
    <row r="31" spans="1:3" x14ac:dyDescent="0.2">
      <c r="A31">
        <v>4</v>
      </c>
      <c r="B31" s="37" t="s">
        <v>41</v>
      </c>
      <c r="C31" s="3" t="s">
        <v>117</v>
      </c>
    </row>
    <row r="32" spans="1:3" x14ac:dyDescent="0.2">
      <c r="A32">
        <v>4</v>
      </c>
      <c r="B32" s="37" t="s">
        <v>42</v>
      </c>
      <c r="C32" s="3" t="s">
        <v>69</v>
      </c>
    </row>
    <row r="33" spans="1:4" x14ac:dyDescent="0.2">
      <c r="A33">
        <v>1</v>
      </c>
      <c r="B33" s="37" t="s">
        <v>43</v>
      </c>
      <c r="C33" s="3" t="s">
        <v>44</v>
      </c>
    </row>
    <row r="34" spans="1:4" x14ac:dyDescent="0.2">
      <c r="A34">
        <v>1</v>
      </c>
      <c r="B34" s="37" t="s">
        <v>45</v>
      </c>
      <c r="C34" s="3" t="s">
        <v>122</v>
      </c>
    </row>
    <row r="35" spans="1:4" x14ac:dyDescent="0.2">
      <c r="A35">
        <v>4</v>
      </c>
      <c r="B35" s="37" t="s">
        <v>47</v>
      </c>
      <c r="C35" s="3" t="s">
        <v>48</v>
      </c>
    </row>
    <row r="37" spans="1:4" x14ac:dyDescent="0.2">
      <c r="B37" s="4"/>
      <c r="C37" s="4" t="s">
        <v>49</v>
      </c>
      <c r="D37" s="183">
        <f>SUM(D36:D36)</f>
        <v>0</v>
      </c>
    </row>
    <row r="38" spans="1:4" ht="14.25" customHeight="1" x14ac:dyDescent="0.2">
      <c r="B38" s="4"/>
      <c r="C38" s="4"/>
      <c r="D38" s="183"/>
    </row>
    <row r="39" spans="1:4" ht="16.5" customHeight="1" x14ac:dyDescent="0.2">
      <c r="B39" s="16" t="s">
        <v>50</v>
      </c>
    </row>
    <row r="40" spans="1:4" ht="12" customHeight="1" x14ac:dyDescent="0.2">
      <c r="B40" s="493" t="s">
        <v>300</v>
      </c>
      <c r="C40" s="494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5" topLeftCell="B18" activePane="bottomRight" state="frozen"/>
      <selection activeCell="B30" sqref="B30"/>
      <selection pane="topRight" activeCell="B30" sqref="B30"/>
      <selection pane="bottomLeft" activeCell="B30" sqref="B30"/>
      <selection pane="bottomRight" activeCell="A2" sqref="A2:J2"/>
    </sheetView>
  </sheetViews>
  <sheetFormatPr defaultRowHeight="12.75" x14ac:dyDescent="0.2"/>
  <cols>
    <col min="1" max="1" width="40.28515625" style="412" customWidth="1"/>
    <col min="2" max="2" width="6.42578125" style="428" bestFit="1" customWidth="1"/>
    <col min="3" max="3" width="7.28515625" style="428" bestFit="1" customWidth="1"/>
    <col min="4" max="4" width="5.85546875" style="413" bestFit="1" customWidth="1"/>
    <col min="5" max="5" width="8.140625" style="413" bestFit="1" customWidth="1"/>
    <col min="6" max="6" width="8.140625" style="428" customWidth="1"/>
    <col min="7" max="7" width="6.5703125" style="413" customWidth="1"/>
    <col min="8" max="8" width="8.5703125" style="428" customWidth="1"/>
    <col min="9" max="9" width="8.140625" style="428" customWidth="1"/>
    <col min="10" max="10" width="11.140625" style="412" customWidth="1"/>
    <col min="11" max="11" width="4.28515625" style="412" customWidth="1"/>
    <col min="12" max="16384" width="9.140625" style="412"/>
  </cols>
  <sheetData>
    <row r="1" spans="1:11" ht="15" customHeight="1" x14ac:dyDescent="0.2">
      <c r="A1" s="504" t="s">
        <v>331</v>
      </c>
      <c r="B1" s="504"/>
      <c r="C1" s="504"/>
      <c r="D1" s="504"/>
      <c r="E1" s="504"/>
      <c r="F1" s="504"/>
      <c r="G1" s="504"/>
      <c r="H1" s="504"/>
      <c r="I1" s="504"/>
      <c r="J1" s="504"/>
    </row>
    <row r="2" spans="1:11" ht="15" customHeight="1" x14ac:dyDescent="0.2">
      <c r="A2" s="504" t="s">
        <v>72</v>
      </c>
      <c r="B2" s="504"/>
      <c r="C2" s="504"/>
      <c r="D2" s="504"/>
      <c r="E2" s="504"/>
      <c r="F2" s="504"/>
      <c r="G2" s="504"/>
      <c r="H2" s="504"/>
      <c r="I2" s="504"/>
      <c r="J2" s="504"/>
    </row>
    <row r="3" spans="1:11" ht="15" customHeight="1" x14ac:dyDescent="0.2">
      <c r="A3" s="504" t="s">
        <v>330</v>
      </c>
      <c r="B3" s="504"/>
      <c r="C3" s="504"/>
      <c r="D3" s="504"/>
      <c r="E3" s="504"/>
      <c r="F3" s="504"/>
      <c r="G3" s="504"/>
      <c r="H3" s="504"/>
      <c r="I3" s="504"/>
      <c r="J3" s="504"/>
    </row>
    <row r="4" spans="1:11" ht="15" customHeight="1" x14ac:dyDescent="0.2">
      <c r="J4" s="463" t="s">
        <v>290</v>
      </c>
    </row>
    <row r="5" spans="1:11" ht="63.75" x14ac:dyDescent="0.2">
      <c r="A5" s="414" t="s">
        <v>181</v>
      </c>
      <c r="B5" s="429" t="s">
        <v>182</v>
      </c>
      <c r="C5" s="429" t="s">
        <v>183</v>
      </c>
      <c r="D5" s="430" t="s">
        <v>184</v>
      </c>
      <c r="E5" s="430" t="s">
        <v>185</v>
      </c>
      <c r="F5" s="431" t="s">
        <v>279</v>
      </c>
      <c r="G5" s="430" t="s">
        <v>186</v>
      </c>
      <c r="H5" s="431" t="s">
        <v>187</v>
      </c>
      <c r="I5" s="415" t="s">
        <v>280</v>
      </c>
      <c r="J5" s="432" t="s">
        <v>188</v>
      </c>
      <c r="K5" s="416"/>
    </row>
    <row r="6" spans="1:11" ht="15" customHeight="1" x14ac:dyDescent="0.2">
      <c r="A6" s="417" t="s">
        <v>189</v>
      </c>
      <c r="B6" s="433">
        <v>784</v>
      </c>
      <c r="C6" s="433">
        <v>560</v>
      </c>
      <c r="D6" s="478">
        <v>0.7142857142857143</v>
      </c>
      <c r="E6" s="434">
        <v>0.71838422483992903</v>
      </c>
      <c r="F6" s="433">
        <v>563.21323227450432</v>
      </c>
      <c r="G6" s="434">
        <v>0.72377710426820208</v>
      </c>
      <c r="H6" s="433">
        <v>567.44124974627039</v>
      </c>
      <c r="I6" s="433">
        <v>0</v>
      </c>
      <c r="J6" s="435">
        <f>I6*$J$47</f>
        <v>0</v>
      </c>
    </row>
    <row r="7" spans="1:11" ht="15" customHeight="1" x14ac:dyDescent="0.2">
      <c r="A7" s="417" t="s">
        <v>190</v>
      </c>
      <c r="B7" s="433">
        <v>2491</v>
      </c>
      <c r="C7" s="433">
        <v>1605</v>
      </c>
      <c r="D7" s="478">
        <v>0.6443195503813729</v>
      </c>
      <c r="E7" s="434">
        <v>0.64175888308862039</v>
      </c>
      <c r="F7" s="433">
        <v>1598.6213777737535</v>
      </c>
      <c r="G7" s="434">
        <v>0.64553767340424295</v>
      </c>
      <c r="H7" s="433">
        <v>1608.0343444499692</v>
      </c>
      <c r="I7" s="433">
        <v>0</v>
      </c>
      <c r="J7" s="435">
        <f t="shared" ref="J7:J21" si="0">I7*$J$47</f>
        <v>0</v>
      </c>
    </row>
    <row r="8" spans="1:11" ht="15" customHeight="1" x14ac:dyDescent="0.2">
      <c r="A8" s="417" t="s">
        <v>191</v>
      </c>
      <c r="B8" s="433">
        <v>888</v>
      </c>
      <c r="C8" s="433">
        <v>558</v>
      </c>
      <c r="D8" s="478">
        <v>0.6283783783783784</v>
      </c>
      <c r="E8" s="434">
        <v>0.6529842841497725</v>
      </c>
      <c r="F8" s="433">
        <v>579.85004432499795</v>
      </c>
      <c r="G8" s="434">
        <v>0.65849709774684406</v>
      </c>
      <c r="H8" s="433">
        <v>584.74542279919751</v>
      </c>
      <c r="I8" s="433">
        <v>0</v>
      </c>
      <c r="J8" s="435">
        <f t="shared" si="0"/>
        <v>0</v>
      </c>
    </row>
    <row r="9" spans="1:11" ht="15" customHeight="1" x14ac:dyDescent="0.2">
      <c r="A9" s="417" t="s">
        <v>7</v>
      </c>
      <c r="B9" s="433">
        <v>1017</v>
      </c>
      <c r="C9" s="433">
        <v>656</v>
      </c>
      <c r="D9" s="478">
        <v>0.6450344149459194</v>
      </c>
      <c r="E9" s="434">
        <v>0.67304006836650387</v>
      </c>
      <c r="F9" s="433">
        <v>684.48174952873444</v>
      </c>
      <c r="G9" s="434">
        <v>0.6782549472506374</v>
      </c>
      <c r="H9" s="433">
        <v>689.7852813538982</v>
      </c>
      <c r="I9" s="433">
        <v>0</v>
      </c>
      <c r="J9" s="435">
        <f t="shared" si="0"/>
        <v>0</v>
      </c>
    </row>
    <row r="10" spans="1:11" ht="15" customHeight="1" x14ac:dyDescent="0.2">
      <c r="A10" s="417" t="s">
        <v>9</v>
      </c>
      <c r="B10" s="433">
        <v>3172</v>
      </c>
      <c r="C10" s="433">
        <v>2030</v>
      </c>
      <c r="D10" s="478">
        <v>0.63997477931904156</v>
      </c>
      <c r="E10" s="434">
        <v>0.64737256948068689</v>
      </c>
      <c r="F10" s="433">
        <v>2053.4657903927387</v>
      </c>
      <c r="G10" s="434">
        <v>0.65092573886227068</v>
      </c>
      <c r="H10" s="433">
        <v>2064.7364436711227</v>
      </c>
      <c r="I10" s="433">
        <v>0</v>
      </c>
      <c r="J10" s="435">
        <f t="shared" si="0"/>
        <v>0</v>
      </c>
    </row>
    <row r="11" spans="1:11" ht="15" customHeight="1" x14ac:dyDescent="0.2">
      <c r="A11" s="417" t="s">
        <v>192</v>
      </c>
      <c r="B11" s="433">
        <v>1096</v>
      </c>
      <c r="C11" s="433">
        <v>793</v>
      </c>
      <c r="D11" s="478">
        <v>0.72354014598540151</v>
      </c>
      <c r="E11" s="434">
        <v>0.68134497080743461</v>
      </c>
      <c r="F11" s="433">
        <v>746.75408800494836</v>
      </c>
      <c r="G11" s="434">
        <v>0.68721658129241536</v>
      </c>
      <c r="H11" s="433">
        <v>753.1893730964872</v>
      </c>
      <c r="I11" s="433">
        <v>39.810626903512812</v>
      </c>
      <c r="J11" s="435">
        <f t="shared" si="0"/>
        <v>398106.26903512812</v>
      </c>
    </row>
    <row r="12" spans="1:11" ht="15" customHeight="1" x14ac:dyDescent="0.2">
      <c r="A12" s="301" t="s">
        <v>221</v>
      </c>
      <c r="B12" s="433">
        <v>362</v>
      </c>
      <c r="C12" s="433">
        <v>236</v>
      </c>
      <c r="D12" s="478">
        <v>0.65193370165745856</v>
      </c>
      <c r="E12" s="434">
        <v>0.61772152815013937</v>
      </c>
      <c r="F12" s="433">
        <v>223.61519319035045</v>
      </c>
      <c r="G12" s="434">
        <v>0.62998319659470625</v>
      </c>
      <c r="H12" s="433">
        <v>228.05391716728366</v>
      </c>
      <c r="I12" s="433">
        <v>7.9460828327163373</v>
      </c>
      <c r="J12" s="435">
        <f t="shared" si="0"/>
        <v>79460.82832716337</v>
      </c>
    </row>
    <row r="13" spans="1:11" ht="15" customHeight="1" x14ac:dyDescent="0.2">
      <c r="A13" s="417" t="s">
        <v>139</v>
      </c>
      <c r="B13" s="433">
        <v>2117</v>
      </c>
      <c r="C13" s="433">
        <v>1358</v>
      </c>
      <c r="D13" s="478">
        <v>0.64147378365611718</v>
      </c>
      <c r="E13" s="434">
        <v>0.6384958392040565</v>
      </c>
      <c r="F13" s="433">
        <v>1351.6956915949877</v>
      </c>
      <c r="G13" s="434">
        <v>0.64276162764429901</v>
      </c>
      <c r="H13" s="433">
        <v>1360.726365722981</v>
      </c>
      <c r="I13" s="433">
        <v>0</v>
      </c>
      <c r="J13" s="435">
        <f t="shared" si="0"/>
        <v>0</v>
      </c>
    </row>
    <row r="14" spans="1:11" ht="15" customHeight="1" x14ac:dyDescent="0.2">
      <c r="A14" s="417" t="s">
        <v>193</v>
      </c>
      <c r="B14" s="433">
        <v>1662</v>
      </c>
      <c r="C14" s="433">
        <v>1070</v>
      </c>
      <c r="D14" s="478">
        <v>0.64380264741275572</v>
      </c>
      <c r="E14" s="434">
        <v>0.64598942023760719</v>
      </c>
      <c r="F14" s="433">
        <v>1073.6344164349032</v>
      </c>
      <c r="G14" s="434">
        <v>0.65062061118120307</v>
      </c>
      <c r="H14" s="433">
        <v>1081.3314557831595</v>
      </c>
      <c r="I14" s="433">
        <v>0</v>
      </c>
      <c r="J14" s="435">
        <f t="shared" si="0"/>
        <v>0</v>
      </c>
    </row>
    <row r="15" spans="1:11" ht="15" customHeight="1" x14ac:dyDescent="0.2">
      <c r="A15" s="417" t="s">
        <v>17</v>
      </c>
      <c r="B15" s="433">
        <v>1458</v>
      </c>
      <c r="C15" s="433">
        <v>975</v>
      </c>
      <c r="D15" s="478">
        <v>0.66872427983539096</v>
      </c>
      <c r="E15" s="434">
        <v>0.6654121525037765</v>
      </c>
      <c r="F15" s="433">
        <v>970.1709183505061</v>
      </c>
      <c r="G15" s="434">
        <v>0.67033680720519329</v>
      </c>
      <c r="H15" s="433">
        <v>977.35106490517182</v>
      </c>
      <c r="I15" s="433">
        <v>0</v>
      </c>
      <c r="J15" s="435">
        <f t="shared" si="0"/>
        <v>0</v>
      </c>
    </row>
    <row r="16" spans="1:11" ht="15" customHeight="1" x14ac:dyDescent="0.2">
      <c r="A16" s="417" t="s">
        <v>194</v>
      </c>
      <c r="B16" s="433">
        <v>2874</v>
      </c>
      <c r="C16" s="433">
        <v>1685</v>
      </c>
      <c r="D16" s="478">
        <v>0.58629088378566463</v>
      </c>
      <c r="E16" s="434">
        <v>0.61252737422643333</v>
      </c>
      <c r="F16" s="433">
        <v>1760.4036735267694</v>
      </c>
      <c r="G16" s="434">
        <v>0.61763622200011026</v>
      </c>
      <c r="H16" s="433">
        <v>1775.0865020283168</v>
      </c>
      <c r="I16" s="433">
        <v>0</v>
      </c>
      <c r="J16" s="435">
        <f t="shared" si="0"/>
        <v>0</v>
      </c>
    </row>
    <row r="17" spans="1:10" ht="15" customHeight="1" x14ac:dyDescent="0.2">
      <c r="A17" s="417" t="s">
        <v>222</v>
      </c>
      <c r="B17" s="433">
        <v>743</v>
      </c>
      <c r="C17" s="433">
        <v>486</v>
      </c>
      <c r="D17" s="478">
        <v>0.65410497981157467</v>
      </c>
      <c r="E17" s="434">
        <v>0.66462481102174775</v>
      </c>
      <c r="F17" s="433">
        <v>493.81623458915857</v>
      </c>
      <c r="G17" s="434">
        <v>0.66878837943082148</v>
      </c>
      <c r="H17" s="433">
        <v>496.90976591710034</v>
      </c>
      <c r="I17" s="433">
        <v>0</v>
      </c>
      <c r="J17" s="435">
        <f t="shared" si="0"/>
        <v>0</v>
      </c>
    </row>
    <row r="18" spans="1:10" ht="15" customHeight="1" x14ac:dyDescent="0.2">
      <c r="A18" s="417" t="s">
        <v>196</v>
      </c>
      <c r="B18" s="433">
        <v>2047</v>
      </c>
      <c r="C18" s="433">
        <v>1329</v>
      </c>
      <c r="D18" s="478">
        <v>0.64924279433317045</v>
      </c>
      <c r="E18" s="434">
        <v>0.64731300360615307</v>
      </c>
      <c r="F18" s="433">
        <v>1325.0497183817954</v>
      </c>
      <c r="G18" s="434">
        <v>0.64976478679516803</v>
      </c>
      <c r="H18" s="433">
        <v>1330.0685185697089</v>
      </c>
      <c r="I18" s="433">
        <v>0</v>
      </c>
      <c r="J18" s="435">
        <f t="shared" si="0"/>
        <v>0</v>
      </c>
    </row>
    <row r="19" spans="1:10" ht="15" customHeight="1" x14ac:dyDescent="0.2">
      <c r="A19" s="417" t="s">
        <v>223</v>
      </c>
      <c r="B19" s="433">
        <v>691</v>
      </c>
      <c r="C19" s="433">
        <v>481</v>
      </c>
      <c r="D19" s="478">
        <v>0.69609261939218525</v>
      </c>
      <c r="E19" s="434">
        <v>0.66542706963270781</v>
      </c>
      <c r="F19" s="433">
        <v>459.8101051162011</v>
      </c>
      <c r="G19" s="434">
        <v>0.66905035757667375</v>
      </c>
      <c r="H19" s="433">
        <v>462.31379708548155</v>
      </c>
      <c r="I19" s="433">
        <v>18.68620291451845</v>
      </c>
      <c r="J19" s="435">
        <f t="shared" si="0"/>
        <v>186862.0291451845</v>
      </c>
    </row>
    <row r="20" spans="1:10" ht="15" customHeight="1" x14ac:dyDescent="0.2">
      <c r="A20" s="417" t="s">
        <v>132</v>
      </c>
      <c r="B20" s="433">
        <v>3423</v>
      </c>
      <c r="C20" s="433">
        <v>2229</v>
      </c>
      <c r="D20" s="478">
        <v>0.65118317265556525</v>
      </c>
      <c r="E20" s="434">
        <v>0.64400918799185058</v>
      </c>
      <c r="F20" s="433">
        <v>2204.4434504961046</v>
      </c>
      <c r="G20" s="434">
        <v>0.64772674489249527</v>
      </c>
      <c r="H20" s="433">
        <v>2217.1686477670114</v>
      </c>
      <c r="I20" s="433">
        <v>11.831352232988543</v>
      </c>
      <c r="J20" s="435">
        <f t="shared" si="0"/>
        <v>118313.52232988543</v>
      </c>
    </row>
    <row r="21" spans="1:10" ht="15" customHeight="1" x14ac:dyDescent="0.2">
      <c r="A21" s="417" t="s">
        <v>133</v>
      </c>
      <c r="B21" s="433">
        <v>2231</v>
      </c>
      <c r="C21" s="433">
        <v>1418</v>
      </c>
      <c r="D21" s="478">
        <v>0.63558942178395339</v>
      </c>
      <c r="E21" s="434">
        <v>0.61117229673698503</v>
      </c>
      <c r="F21" s="433">
        <v>1363.5253940202135</v>
      </c>
      <c r="G21" s="434">
        <v>0.61596517347049351</v>
      </c>
      <c r="H21" s="433">
        <v>1374.2183020126711</v>
      </c>
      <c r="I21" s="433">
        <v>43.78169798732899</v>
      </c>
      <c r="J21" s="435">
        <f t="shared" si="0"/>
        <v>437816.97987328988</v>
      </c>
    </row>
    <row r="22" spans="1:10" ht="15" customHeight="1" x14ac:dyDescent="0.2">
      <c r="A22" s="422" t="s">
        <v>63</v>
      </c>
      <c r="B22" s="436">
        <v>1813</v>
      </c>
      <c r="C22" s="436">
        <v>1270</v>
      </c>
      <c r="D22" s="479">
        <v>0.7004964147821291</v>
      </c>
      <c r="E22" s="479">
        <v>0.7004964147821291</v>
      </c>
      <c r="F22" s="436">
        <v>1269.1237266749822</v>
      </c>
      <c r="G22" s="479">
        <v>0.70625998331271311</v>
      </c>
      <c r="H22" s="436">
        <v>1280.4493497459491</v>
      </c>
      <c r="I22" s="436">
        <v>17.816844693350191</v>
      </c>
      <c r="J22" s="438">
        <f>I22*$J$47</f>
        <v>178168.44693350192</v>
      </c>
    </row>
    <row r="23" spans="1:10" ht="15" customHeight="1" x14ac:dyDescent="0.2">
      <c r="A23" s="417" t="s">
        <v>197</v>
      </c>
      <c r="B23" s="433">
        <v>551</v>
      </c>
      <c r="C23" s="433">
        <v>385</v>
      </c>
      <c r="D23" s="478">
        <v>0.69872958257713247</v>
      </c>
      <c r="E23" s="434">
        <v>0.71334947086040346</v>
      </c>
      <c r="F23" s="433">
        <v>393.05555844408229</v>
      </c>
      <c r="G23" s="434">
        <v>0.71989178494822414</v>
      </c>
      <c r="H23" s="433">
        <v>396.6603735064715</v>
      </c>
      <c r="I23" s="433">
        <v>0</v>
      </c>
      <c r="J23" s="435">
        <f t="shared" ref="J23:J44" si="1">I23*$J$47</f>
        <v>0</v>
      </c>
    </row>
    <row r="24" spans="1:10" ht="15" customHeight="1" x14ac:dyDescent="0.2">
      <c r="A24" s="417" t="s">
        <v>198</v>
      </c>
      <c r="B24" s="433">
        <v>533</v>
      </c>
      <c r="C24" s="433">
        <v>357</v>
      </c>
      <c r="D24" s="478">
        <v>0.66979362101313322</v>
      </c>
      <c r="E24" s="434">
        <v>0.69412151822769419</v>
      </c>
      <c r="F24" s="433">
        <v>369.96676921536101</v>
      </c>
      <c r="G24" s="434">
        <v>0.70094900737866372</v>
      </c>
      <c r="H24" s="433">
        <v>373.60582093282778</v>
      </c>
      <c r="I24" s="433">
        <v>0</v>
      </c>
      <c r="J24" s="435">
        <f t="shared" si="1"/>
        <v>0</v>
      </c>
    </row>
    <row r="25" spans="1:10" ht="15" customHeight="1" x14ac:dyDescent="0.2">
      <c r="A25" s="417" t="s">
        <v>199</v>
      </c>
      <c r="B25" s="433">
        <v>357</v>
      </c>
      <c r="C25" s="433">
        <v>255</v>
      </c>
      <c r="D25" s="478">
        <v>0.7142857142857143</v>
      </c>
      <c r="E25" s="434">
        <v>0.68167949098250791</v>
      </c>
      <c r="F25" s="433">
        <v>243.35957828075533</v>
      </c>
      <c r="G25" s="434">
        <v>0.68659075831904981</v>
      </c>
      <c r="H25" s="433">
        <v>245.11290071990078</v>
      </c>
      <c r="I25" s="433">
        <v>9.887099280099223</v>
      </c>
      <c r="J25" s="435">
        <f t="shared" si="1"/>
        <v>98870.99280099223</v>
      </c>
    </row>
    <row r="26" spans="1:10" ht="15" customHeight="1" x14ac:dyDescent="0.2">
      <c r="A26" s="417" t="s">
        <v>200</v>
      </c>
      <c r="B26" s="433">
        <v>107</v>
      </c>
      <c r="C26" s="433">
        <v>80</v>
      </c>
      <c r="D26" s="478">
        <v>0.74766355140186913</v>
      </c>
      <c r="E26" s="434">
        <v>0.68260897502470019</v>
      </c>
      <c r="F26" s="433">
        <v>73.039160327642918</v>
      </c>
      <c r="G26" s="434">
        <v>0.68878814886405559</v>
      </c>
      <c r="H26" s="433">
        <v>73.700331928453949</v>
      </c>
      <c r="I26" s="433">
        <v>6.2996680715460487</v>
      </c>
      <c r="J26" s="435">
        <f t="shared" si="1"/>
        <v>62996.68071546049</v>
      </c>
    </row>
    <row r="27" spans="1:10" ht="15" customHeight="1" x14ac:dyDescent="0.2">
      <c r="A27" s="417" t="s">
        <v>201</v>
      </c>
      <c r="B27" s="433">
        <v>265</v>
      </c>
      <c r="C27" s="433">
        <v>193</v>
      </c>
      <c r="D27" s="478">
        <v>0.72830188679245278</v>
      </c>
      <c r="E27" s="434">
        <v>0.71585909587600161</v>
      </c>
      <c r="F27" s="433">
        <v>189.70266040714043</v>
      </c>
      <c r="G27" s="434">
        <v>0.7221506515407361</v>
      </c>
      <c r="H27" s="433">
        <v>191.36992265829505</v>
      </c>
      <c r="I27" s="433">
        <v>1.6300773417049204</v>
      </c>
      <c r="J27" s="435">
        <f t="shared" si="1"/>
        <v>16300.773417049204</v>
      </c>
    </row>
    <row r="28" spans="1:10" ht="15" customHeight="1" x14ac:dyDescent="0.2">
      <c r="A28" s="417" t="s">
        <v>202</v>
      </c>
      <c r="B28" s="433">
        <v>1173</v>
      </c>
      <c r="C28" s="433">
        <v>760</v>
      </c>
      <c r="D28" s="478">
        <v>0.64791133844842286</v>
      </c>
      <c r="E28" s="434">
        <v>0.66406634958113098</v>
      </c>
      <c r="F28" s="433">
        <v>778.94982805866664</v>
      </c>
      <c r="G28" s="434">
        <v>0.66701955155152803</v>
      </c>
      <c r="H28" s="433">
        <v>782.41393396994238</v>
      </c>
      <c r="I28" s="433">
        <v>0</v>
      </c>
      <c r="J28" s="435">
        <f t="shared" si="1"/>
        <v>0</v>
      </c>
    </row>
    <row r="29" spans="1:10" ht="15" customHeight="1" x14ac:dyDescent="0.2">
      <c r="A29" s="417" t="s">
        <v>203</v>
      </c>
      <c r="B29" s="433">
        <v>356</v>
      </c>
      <c r="C29" s="433">
        <v>218</v>
      </c>
      <c r="D29" s="478">
        <v>0.61235955056179781</v>
      </c>
      <c r="E29" s="434">
        <v>0.63272286407939238</v>
      </c>
      <c r="F29" s="433">
        <v>225.2493396122637</v>
      </c>
      <c r="G29" s="434">
        <v>0.63897233491383532</v>
      </c>
      <c r="H29" s="433">
        <v>227.47415122932537</v>
      </c>
      <c r="I29" s="433">
        <v>0</v>
      </c>
      <c r="J29" s="435">
        <f t="shared" si="1"/>
        <v>0</v>
      </c>
    </row>
    <row r="30" spans="1:10" ht="15" customHeight="1" x14ac:dyDescent="0.2">
      <c r="A30" s="417" t="s">
        <v>204</v>
      </c>
      <c r="B30" s="433">
        <v>340</v>
      </c>
      <c r="C30" s="433">
        <v>216</v>
      </c>
      <c r="D30" s="478">
        <v>0.63529411764705879</v>
      </c>
      <c r="E30" s="434">
        <v>0.59608027728767976</v>
      </c>
      <c r="F30" s="433">
        <v>202.66729427781112</v>
      </c>
      <c r="G30" s="434">
        <v>0.60170951458869493</v>
      </c>
      <c r="H30" s="433">
        <v>204.58123496015628</v>
      </c>
      <c r="I30" s="433">
        <v>11.418765039843713</v>
      </c>
      <c r="J30" s="435">
        <f t="shared" si="1"/>
        <v>114187.65039843712</v>
      </c>
    </row>
    <row r="31" spans="1:10" ht="15" customHeight="1" x14ac:dyDescent="0.2">
      <c r="A31" s="417" t="s">
        <v>36</v>
      </c>
      <c r="B31" s="433">
        <v>1311</v>
      </c>
      <c r="C31" s="433">
        <v>895</v>
      </c>
      <c r="D31" s="478">
        <v>0.6826849733028223</v>
      </c>
      <c r="E31" s="434">
        <v>0.68694736040747706</v>
      </c>
      <c r="F31" s="433">
        <v>900.58798949420247</v>
      </c>
      <c r="G31" s="434">
        <v>0.6899933411710153</v>
      </c>
      <c r="H31" s="433">
        <v>904.58127027520106</v>
      </c>
      <c r="I31" s="433">
        <v>0</v>
      </c>
      <c r="J31" s="435">
        <f t="shared" si="1"/>
        <v>0</v>
      </c>
    </row>
    <row r="32" spans="1:10" ht="15" customHeight="1" x14ac:dyDescent="0.2">
      <c r="A32" s="417" t="s">
        <v>131</v>
      </c>
      <c r="B32" s="433">
        <v>794</v>
      </c>
      <c r="C32" s="433">
        <v>512</v>
      </c>
      <c r="D32" s="478">
        <v>0.64483627204030225</v>
      </c>
      <c r="E32" s="434">
        <v>0.66550066835083865</v>
      </c>
      <c r="F32" s="433">
        <v>528.40753067056585</v>
      </c>
      <c r="G32" s="434">
        <v>0.67008284123564732</v>
      </c>
      <c r="H32" s="433">
        <v>532.04577594110401</v>
      </c>
      <c r="I32" s="433">
        <v>0</v>
      </c>
      <c r="J32" s="435">
        <f t="shared" si="1"/>
        <v>0</v>
      </c>
    </row>
    <row r="33" spans="1:14" ht="15" customHeight="1" x14ac:dyDescent="0.2">
      <c r="A33" s="417" t="s">
        <v>205</v>
      </c>
      <c r="B33" s="433">
        <v>1837</v>
      </c>
      <c r="C33" s="433">
        <v>1153</v>
      </c>
      <c r="D33" s="478">
        <v>0.62765378334240607</v>
      </c>
      <c r="E33" s="434">
        <v>0.65601634101885531</v>
      </c>
      <c r="F33" s="433">
        <v>1205.1020184516372</v>
      </c>
      <c r="G33" s="434">
        <v>0.65949807265247229</v>
      </c>
      <c r="H33" s="433">
        <v>1211.4979594625916</v>
      </c>
      <c r="I33" s="433">
        <v>0</v>
      </c>
      <c r="J33" s="435">
        <f t="shared" si="1"/>
        <v>0</v>
      </c>
    </row>
    <row r="34" spans="1:14" ht="15" customHeight="1" x14ac:dyDescent="0.2">
      <c r="A34" s="417" t="s">
        <v>206</v>
      </c>
      <c r="B34" s="433">
        <v>1928</v>
      </c>
      <c r="C34" s="433">
        <v>1196</v>
      </c>
      <c r="D34" s="478">
        <v>0.6203319502074689</v>
      </c>
      <c r="E34" s="434">
        <v>0.65400869020216545</v>
      </c>
      <c r="F34" s="433">
        <v>1260.9287547097749</v>
      </c>
      <c r="G34" s="434">
        <v>0.65797608400365926</v>
      </c>
      <c r="H34" s="433">
        <v>1268.577889959055</v>
      </c>
      <c r="I34" s="433">
        <v>0</v>
      </c>
      <c r="J34" s="435">
        <f t="shared" si="1"/>
        <v>0</v>
      </c>
    </row>
    <row r="35" spans="1:14" ht="15" customHeight="1" x14ac:dyDescent="0.2">
      <c r="A35" s="417" t="s">
        <v>70</v>
      </c>
      <c r="B35" s="433">
        <v>2787</v>
      </c>
      <c r="C35" s="433">
        <v>1696</v>
      </c>
      <c r="D35" s="478">
        <v>0.60853964836742014</v>
      </c>
      <c r="E35" s="434">
        <v>0.59909295397114615</v>
      </c>
      <c r="F35" s="433">
        <v>1669.6720627175844</v>
      </c>
      <c r="G35" s="434">
        <v>0.60377753943782475</v>
      </c>
      <c r="H35" s="433">
        <v>1682.7280024132176</v>
      </c>
      <c r="I35" s="433">
        <v>13.271997586782346</v>
      </c>
      <c r="J35" s="435">
        <f t="shared" si="1"/>
        <v>132719.97586782346</v>
      </c>
    </row>
    <row r="36" spans="1:14" ht="15" customHeight="1" x14ac:dyDescent="0.2">
      <c r="A36" s="417" t="s">
        <v>117</v>
      </c>
      <c r="B36" s="433">
        <v>1158</v>
      </c>
      <c r="C36" s="433">
        <v>790</v>
      </c>
      <c r="D36" s="478">
        <v>0.68221070811744389</v>
      </c>
      <c r="E36" s="434">
        <v>0.6581066890873476</v>
      </c>
      <c r="F36" s="433">
        <v>762.0875459631485</v>
      </c>
      <c r="G36" s="434">
        <v>0.66083059252400322</v>
      </c>
      <c r="H36" s="433">
        <v>765.24182614279573</v>
      </c>
      <c r="I36" s="433">
        <v>24.758173857204287</v>
      </c>
      <c r="J36" s="435">
        <f t="shared" si="1"/>
        <v>247581.73857204287</v>
      </c>
    </row>
    <row r="37" spans="1:14" ht="15" customHeight="1" x14ac:dyDescent="0.2">
      <c r="A37" s="422" t="s">
        <v>207</v>
      </c>
      <c r="B37" s="436">
        <v>39395</v>
      </c>
      <c r="C37" s="436">
        <v>25385</v>
      </c>
      <c r="D37" s="488">
        <v>0.64437111308541695</v>
      </c>
      <c r="E37" s="488">
        <v>0.64743242592733707</v>
      </c>
      <c r="F37" s="436">
        <v>25505.600419407445</v>
      </c>
      <c r="G37" s="437">
        <v>0.65175823850701975</v>
      </c>
      <c r="H37" s="436">
        <v>25676.015805984043</v>
      </c>
      <c r="I37" s="436">
        <f>SUM(I6:I22,I28:I36)</f>
        <v>189.32174404824568</v>
      </c>
      <c r="J37" s="438">
        <f>SUM(J6:J22,J28:J36)</f>
        <v>1893217.4404824567</v>
      </c>
    </row>
    <row r="38" spans="1:14" ht="15" customHeight="1" x14ac:dyDescent="0.2">
      <c r="A38" s="417" t="s">
        <v>208</v>
      </c>
      <c r="B38" s="433">
        <v>1649</v>
      </c>
      <c r="C38" s="433">
        <v>1387</v>
      </c>
      <c r="D38" s="434">
        <v>0.84111582777440874</v>
      </c>
      <c r="E38" s="434">
        <v>0.83800484953992127</v>
      </c>
      <c r="F38" s="433">
        <v>1381.8699968913302</v>
      </c>
      <c r="G38" s="434">
        <v>0.84417867251414591</v>
      </c>
      <c r="H38" s="433">
        <v>1392.0506309758266</v>
      </c>
      <c r="I38" s="433">
        <v>0</v>
      </c>
      <c r="J38" s="435">
        <f t="shared" si="1"/>
        <v>0</v>
      </c>
      <c r="M38" s="413"/>
      <c r="N38" s="413"/>
    </row>
    <row r="39" spans="1:14" ht="15" customHeight="1" x14ac:dyDescent="0.2">
      <c r="A39" s="417" t="s">
        <v>140</v>
      </c>
      <c r="B39" s="433">
        <v>2915</v>
      </c>
      <c r="C39" s="433">
        <v>2306</v>
      </c>
      <c r="D39" s="434">
        <v>0.79108061749571179</v>
      </c>
      <c r="E39" s="434">
        <v>0.80242684918260943</v>
      </c>
      <c r="F39" s="433">
        <v>2339.0742653673065</v>
      </c>
      <c r="G39" s="434">
        <v>0.80747543387487297</v>
      </c>
      <c r="H39" s="433">
        <v>2353.7908897452548</v>
      </c>
      <c r="I39" s="433">
        <v>0</v>
      </c>
      <c r="J39" s="435">
        <f t="shared" si="1"/>
        <v>0</v>
      </c>
      <c r="M39" s="413"/>
      <c r="N39" s="413"/>
    </row>
    <row r="40" spans="1:14" ht="15" customHeight="1" x14ac:dyDescent="0.2">
      <c r="A40" s="417" t="s">
        <v>209</v>
      </c>
      <c r="B40" s="433">
        <v>4080</v>
      </c>
      <c r="C40" s="433">
        <v>3559</v>
      </c>
      <c r="D40" s="434">
        <v>0.87230392156862746</v>
      </c>
      <c r="E40" s="434">
        <v>0.85765047393149285</v>
      </c>
      <c r="F40" s="433">
        <v>3499.2139336404907</v>
      </c>
      <c r="G40" s="434">
        <v>0.86447079958542206</v>
      </c>
      <c r="H40" s="433">
        <v>3527.0408623085218</v>
      </c>
      <c r="I40" s="433">
        <v>31.959137691478048</v>
      </c>
      <c r="J40" s="435">
        <f t="shared" si="1"/>
        <v>319591.37691478047</v>
      </c>
      <c r="M40" s="413"/>
      <c r="N40" s="413"/>
    </row>
    <row r="41" spans="1:14" ht="15" customHeight="1" x14ac:dyDescent="0.2">
      <c r="A41" s="417" t="s">
        <v>210</v>
      </c>
      <c r="B41" s="433">
        <v>1667</v>
      </c>
      <c r="C41" s="433">
        <v>1410</v>
      </c>
      <c r="D41" s="434">
        <v>0.84583083383323332</v>
      </c>
      <c r="E41" s="434">
        <v>0.82740065665148044</v>
      </c>
      <c r="F41" s="433">
        <v>1379.2768946380179</v>
      </c>
      <c r="G41" s="434">
        <v>0.83399593445192588</v>
      </c>
      <c r="H41" s="433">
        <v>1390.2712227313605</v>
      </c>
      <c r="I41" s="433">
        <v>19.728777268639501</v>
      </c>
      <c r="J41" s="435">
        <f t="shared" si="1"/>
        <v>197287.77268639501</v>
      </c>
      <c r="M41" s="413"/>
      <c r="N41" s="413"/>
    </row>
    <row r="42" spans="1:14" ht="15" customHeight="1" x14ac:dyDescent="0.2">
      <c r="A42" s="417" t="s">
        <v>211</v>
      </c>
      <c r="B42" s="433">
        <v>3360</v>
      </c>
      <c r="C42" s="433">
        <v>2832</v>
      </c>
      <c r="D42" s="434">
        <v>0.84285714285714286</v>
      </c>
      <c r="E42" s="434">
        <v>0.80652361617743129</v>
      </c>
      <c r="F42" s="433">
        <v>2709.9193503561692</v>
      </c>
      <c r="G42" s="434">
        <v>0.81272550910655716</v>
      </c>
      <c r="H42" s="433">
        <v>2730.7577105980322</v>
      </c>
      <c r="I42" s="433">
        <v>101.24228940196794</v>
      </c>
      <c r="J42" s="435">
        <f t="shared" si="1"/>
        <v>1012422.8940196794</v>
      </c>
      <c r="M42" s="413"/>
      <c r="N42" s="413"/>
    </row>
    <row r="43" spans="1:14" ht="15" customHeight="1" x14ac:dyDescent="0.2">
      <c r="A43" s="417" t="s">
        <v>212</v>
      </c>
      <c r="B43" s="433">
        <v>931</v>
      </c>
      <c r="C43" s="433">
        <v>714</v>
      </c>
      <c r="D43" s="434">
        <v>0.76691729323308266</v>
      </c>
      <c r="E43" s="434">
        <v>0.80715766271483147</v>
      </c>
      <c r="F43" s="433">
        <v>751.46378398750812</v>
      </c>
      <c r="G43" s="434">
        <v>0.81725753760566</v>
      </c>
      <c r="H43" s="433">
        <v>760.86676751086941</v>
      </c>
      <c r="I43" s="433">
        <v>0</v>
      </c>
      <c r="J43" s="435">
        <f t="shared" si="1"/>
        <v>0</v>
      </c>
      <c r="M43" s="413"/>
      <c r="N43" s="413"/>
    </row>
    <row r="44" spans="1:14" ht="15" customHeight="1" x14ac:dyDescent="0.2">
      <c r="A44" s="417" t="s">
        <v>213</v>
      </c>
      <c r="B44" s="433">
        <v>2244</v>
      </c>
      <c r="C44" s="433">
        <v>2047</v>
      </c>
      <c r="D44" s="434">
        <v>0.91221033868092694</v>
      </c>
      <c r="E44" s="434">
        <v>0.91161815278086722</v>
      </c>
      <c r="F44" s="433">
        <v>2045.6711348402659</v>
      </c>
      <c r="G44" s="434">
        <v>0.91674036236406031</v>
      </c>
      <c r="H44" s="433">
        <v>2057.1653731449514</v>
      </c>
      <c r="I44" s="433">
        <v>0</v>
      </c>
      <c r="J44" s="435">
        <f t="shared" si="1"/>
        <v>0</v>
      </c>
      <c r="M44" s="413"/>
      <c r="N44" s="413"/>
    </row>
    <row r="45" spans="1:14" ht="15" customHeight="1" x14ac:dyDescent="0.2">
      <c r="A45" s="422" t="s">
        <v>214</v>
      </c>
      <c r="B45" s="436">
        <v>16846</v>
      </c>
      <c r="C45" s="436">
        <v>14255</v>
      </c>
      <c r="D45" s="437">
        <v>0.8461949424195655</v>
      </c>
      <c r="E45" s="437">
        <v>0.8373791618022729</v>
      </c>
      <c r="F45" s="436">
        <v>14106.489359721088</v>
      </c>
      <c r="G45" s="437">
        <v>0.84363905122965788</v>
      </c>
      <c r="H45" s="436">
        <v>14211.943457014817</v>
      </c>
      <c r="I45" s="436">
        <v>152.93020436208548</v>
      </c>
      <c r="J45" s="438">
        <f>SUM(J38:J44)</f>
        <v>1529302.0436208548</v>
      </c>
    </row>
    <row r="46" spans="1:14" ht="15" customHeight="1" x14ac:dyDescent="0.2">
      <c r="A46" s="426" t="s">
        <v>215</v>
      </c>
      <c r="B46" s="439">
        <v>56241</v>
      </c>
      <c r="C46" s="439">
        <v>39640</v>
      </c>
      <c r="D46" s="427">
        <v>0.7048238829323803</v>
      </c>
      <c r="E46" s="427">
        <v>0.703179785856067</v>
      </c>
      <c r="F46" s="439">
        <v>39547.53433633106</v>
      </c>
      <c r="G46" s="427">
        <v>0.70807322955434726</v>
      </c>
      <c r="H46" s="439">
        <v>39822.746503366041</v>
      </c>
      <c r="I46" s="439">
        <v>342.25194841033112</v>
      </c>
      <c r="J46" s="440">
        <f>J45+J37</f>
        <v>3422519.4841033118</v>
      </c>
    </row>
    <row r="47" spans="1:14" ht="15" customHeight="1" x14ac:dyDescent="0.2">
      <c r="A47" s="441" t="s">
        <v>281</v>
      </c>
      <c r="B47" s="442"/>
      <c r="C47" s="442"/>
      <c r="D47" s="443"/>
      <c r="E47" s="443"/>
      <c r="F47" s="442"/>
      <c r="G47" s="443"/>
      <c r="H47" s="442"/>
      <c r="I47" s="442"/>
      <c r="J47" s="444">
        <v>10000</v>
      </c>
    </row>
  </sheetData>
  <mergeCells count="3">
    <mergeCell ref="A1:J1"/>
    <mergeCell ref="A2:J2"/>
    <mergeCell ref="A3:J3"/>
  </mergeCells>
  <printOptions horizontalCentered="1"/>
  <pageMargins left="0.1" right="0.1" top="0.5" bottom="0.5" header="0" footer="0.3"/>
  <pageSetup scale="90" orientation="portrait" r:id="rId1"/>
  <headerFooter>
    <oddFooter>&amp;LSource: System Office Research - Academic and Student Affairs   
&amp;Z&amp;F&amp;A
February 5,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A2" sqref="A2:H2"/>
    </sheetView>
  </sheetViews>
  <sheetFormatPr defaultRowHeight="15" customHeight="1" x14ac:dyDescent="0.2"/>
  <cols>
    <col min="1" max="1" width="40.28515625" style="412" customWidth="1"/>
    <col min="2" max="4" width="5.7109375" style="412" bestFit="1" customWidth="1"/>
    <col min="5" max="5" width="9.5703125" style="412" bestFit="1" customWidth="1"/>
    <col min="6" max="6" width="11.42578125" style="412" bestFit="1" customWidth="1"/>
    <col min="7" max="7" width="12.28515625" style="412" bestFit="1" customWidth="1"/>
    <col min="8" max="8" width="11" style="412" customWidth="1"/>
    <col min="9" max="16384" width="9.140625" style="412"/>
  </cols>
  <sheetData>
    <row r="1" spans="1:8" ht="15" customHeight="1" x14ac:dyDescent="0.2">
      <c r="A1" s="504" t="s">
        <v>332</v>
      </c>
      <c r="B1" s="504"/>
      <c r="C1" s="504"/>
      <c r="D1" s="504"/>
      <c r="E1" s="504"/>
      <c r="F1" s="504"/>
      <c r="G1" s="504"/>
      <c r="H1" s="504"/>
    </row>
    <row r="2" spans="1:8" ht="15" customHeight="1" x14ac:dyDescent="0.2">
      <c r="A2" s="504" t="s">
        <v>72</v>
      </c>
      <c r="B2" s="504"/>
      <c r="C2" s="504"/>
      <c r="D2" s="504"/>
      <c r="E2" s="504"/>
      <c r="F2" s="504"/>
      <c r="G2" s="504"/>
      <c r="H2" s="504"/>
    </row>
    <row r="3" spans="1:8" ht="15" customHeight="1" x14ac:dyDescent="0.2">
      <c r="A3" s="504" t="s">
        <v>317</v>
      </c>
      <c r="B3" s="504"/>
      <c r="C3" s="504"/>
      <c r="D3" s="504"/>
      <c r="E3" s="504"/>
      <c r="F3" s="504"/>
      <c r="G3" s="504"/>
      <c r="H3" s="504"/>
    </row>
    <row r="4" spans="1:8" ht="15" customHeight="1" x14ac:dyDescent="0.2">
      <c r="A4" s="473"/>
      <c r="B4" s="505"/>
      <c r="C4" s="505"/>
      <c r="D4" s="505"/>
      <c r="E4" s="299" t="s">
        <v>216</v>
      </c>
      <c r="F4" s="474">
        <v>2017</v>
      </c>
      <c r="G4" s="475" t="s">
        <v>217</v>
      </c>
      <c r="H4" s="463" t="s">
        <v>291</v>
      </c>
    </row>
    <row r="5" spans="1:8" x14ac:dyDescent="0.25">
      <c r="A5" s="300" t="s">
        <v>218</v>
      </c>
      <c r="B5" s="476">
        <v>2015</v>
      </c>
      <c r="C5" s="476">
        <v>2016</v>
      </c>
      <c r="D5" s="476">
        <v>2017</v>
      </c>
      <c r="E5" s="300" t="s">
        <v>316</v>
      </c>
      <c r="F5" s="477" t="s">
        <v>219</v>
      </c>
      <c r="G5" s="300" t="s">
        <v>220</v>
      </c>
      <c r="H5" s="300" t="s">
        <v>188</v>
      </c>
    </row>
    <row r="6" spans="1:8" ht="15" customHeight="1" x14ac:dyDescent="0.2">
      <c r="A6" s="445" t="s">
        <v>189</v>
      </c>
      <c r="B6" s="446">
        <v>0.6097560975609756</v>
      </c>
      <c r="C6" s="446">
        <v>0.58441558441558439</v>
      </c>
      <c r="D6" s="446">
        <v>0.54666666666666663</v>
      </c>
      <c r="E6" s="446">
        <f>D6-B6</f>
        <v>-6.3089430894308962E-2</v>
      </c>
      <c r="F6" s="447">
        <v>75</v>
      </c>
      <c r="G6" s="418">
        <f>IF(E6&gt;0.005,ROUND((E6-0.005)*F6,0),0)</f>
        <v>0</v>
      </c>
      <c r="H6" s="419">
        <f t="shared" ref="H6:H21" si="0">G6*H$47</f>
        <v>0</v>
      </c>
    </row>
    <row r="7" spans="1:8" ht="15" customHeight="1" x14ac:dyDescent="0.2">
      <c r="A7" s="301" t="s">
        <v>190</v>
      </c>
      <c r="B7" s="448">
        <v>0.56814921090387371</v>
      </c>
      <c r="C7" s="448">
        <v>0.57698056801195818</v>
      </c>
      <c r="D7" s="448">
        <v>0.6074074074074074</v>
      </c>
      <c r="E7" s="448">
        <f t="shared" ref="E7:E46" si="1">D7-B7</f>
        <v>3.9258196503533682E-2</v>
      </c>
      <c r="F7" s="447">
        <v>675</v>
      </c>
      <c r="G7" s="417">
        <f t="shared" ref="G7:G44" si="2">IF(E7&gt;0.005,ROUND((E7-0.005)*F7,0),0)</f>
        <v>23</v>
      </c>
      <c r="H7" s="421">
        <f>G7*H$47</f>
        <v>92000</v>
      </c>
    </row>
    <row r="8" spans="1:8" ht="15" customHeight="1" x14ac:dyDescent="0.2">
      <c r="A8" s="301" t="s">
        <v>191</v>
      </c>
      <c r="B8" s="448">
        <v>0.57843137254901966</v>
      </c>
      <c r="C8" s="448">
        <v>0.54589371980676327</v>
      </c>
      <c r="D8" s="448">
        <v>0.60360360360360366</v>
      </c>
      <c r="E8" s="448">
        <f t="shared" si="1"/>
        <v>2.5172231054583993E-2</v>
      </c>
      <c r="F8" s="447">
        <v>222</v>
      </c>
      <c r="G8" s="417">
        <f t="shared" si="2"/>
        <v>4</v>
      </c>
      <c r="H8" s="421">
        <f t="shared" si="0"/>
        <v>16000</v>
      </c>
    </row>
    <row r="9" spans="1:8" ht="15" customHeight="1" x14ac:dyDescent="0.2">
      <c r="A9" s="301" t="s">
        <v>7</v>
      </c>
      <c r="B9" s="448">
        <v>0.521505376344086</v>
      </c>
      <c r="C9" s="448">
        <v>0.57055214723926384</v>
      </c>
      <c r="D9" s="448">
        <v>0.6143790849673203</v>
      </c>
      <c r="E9" s="448">
        <f t="shared" si="1"/>
        <v>9.2873708623234297E-2</v>
      </c>
      <c r="F9" s="447">
        <v>153</v>
      </c>
      <c r="G9" s="417">
        <f t="shared" si="2"/>
        <v>13</v>
      </c>
      <c r="H9" s="421">
        <f t="shared" si="0"/>
        <v>52000</v>
      </c>
    </row>
    <row r="10" spans="1:8" ht="15" customHeight="1" x14ac:dyDescent="0.2">
      <c r="A10" s="301" t="s">
        <v>9</v>
      </c>
      <c r="B10" s="448">
        <v>0.60612691466083146</v>
      </c>
      <c r="C10" s="448">
        <v>0.61887072808320953</v>
      </c>
      <c r="D10" s="448">
        <v>0.60466926070038907</v>
      </c>
      <c r="E10" s="448">
        <f t="shared" si="1"/>
        <v>-1.4576539604423955E-3</v>
      </c>
      <c r="F10" s="447">
        <v>1285</v>
      </c>
      <c r="G10" s="417">
        <f t="shared" si="2"/>
        <v>0</v>
      </c>
      <c r="H10" s="421">
        <f t="shared" si="0"/>
        <v>0</v>
      </c>
    </row>
    <row r="11" spans="1:8" ht="15" customHeight="1" x14ac:dyDescent="0.2">
      <c r="A11" s="301" t="s">
        <v>192</v>
      </c>
      <c r="B11" s="448">
        <v>0.61250000000000004</v>
      </c>
      <c r="C11" s="448">
        <v>0.67213114754098358</v>
      </c>
      <c r="D11" s="448">
        <v>0.67586206896551726</v>
      </c>
      <c r="E11" s="448">
        <f t="shared" si="1"/>
        <v>6.3362068965517215E-2</v>
      </c>
      <c r="F11" s="447">
        <v>290</v>
      </c>
      <c r="G11" s="417">
        <f t="shared" si="2"/>
        <v>17</v>
      </c>
      <c r="H11" s="421">
        <f t="shared" si="0"/>
        <v>68000</v>
      </c>
    </row>
    <row r="12" spans="1:8" ht="15" customHeight="1" x14ac:dyDescent="0.2">
      <c r="A12" s="301" t="s">
        <v>221</v>
      </c>
      <c r="B12" s="448">
        <v>0.57763975155279501</v>
      </c>
      <c r="C12" s="448">
        <v>0.48901098901098899</v>
      </c>
      <c r="D12" s="448">
        <v>0.60240963855421692</v>
      </c>
      <c r="E12" s="448">
        <f t="shared" si="1"/>
        <v>2.4769887001421909E-2</v>
      </c>
      <c r="F12" s="447">
        <v>166</v>
      </c>
      <c r="G12" s="417">
        <f t="shared" si="2"/>
        <v>3</v>
      </c>
      <c r="H12" s="421">
        <f t="shared" si="0"/>
        <v>12000</v>
      </c>
    </row>
    <row r="13" spans="1:8" ht="15" customHeight="1" x14ac:dyDescent="0.2">
      <c r="A13" s="301" t="s">
        <v>139</v>
      </c>
      <c r="B13" s="448">
        <v>0.58570198105081828</v>
      </c>
      <c r="C13" s="448">
        <v>0.606494746895893</v>
      </c>
      <c r="D13" s="448">
        <v>0.61105626850937811</v>
      </c>
      <c r="E13" s="448">
        <f t="shared" si="1"/>
        <v>2.5354287458559832E-2</v>
      </c>
      <c r="F13" s="447">
        <v>1013</v>
      </c>
      <c r="G13" s="417">
        <f t="shared" si="2"/>
        <v>21</v>
      </c>
      <c r="H13" s="421">
        <f t="shared" si="0"/>
        <v>84000</v>
      </c>
    </row>
    <row r="14" spans="1:8" ht="15" customHeight="1" x14ac:dyDescent="0.2">
      <c r="A14" s="301" t="s">
        <v>193</v>
      </c>
      <c r="B14" s="448">
        <v>0.59259259259259256</v>
      </c>
      <c r="C14" s="448">
        <v>0.56911764705882351</v>
      </c>
      <c r="D14" s="448">
        <v>0.60896445131375576</v>
      </c>
      <c r="E14" s="448">
        <f t="shared" si="1"/>
        <v>1.6371858721163202E-2</v>
      </c>
      <c r="F14" s="447">
        <v>647</v>
      </c>
      <c r="G14" s="417">
        <f t="shared" si="2"/>
        <v>7</v>
      </c>
      <c r="H14" s="421">
        <f t="shared" si="0"/>
        <v>28000</v>
      </c>
    </row>
    <row r="15" spans="1:8" ht="15" customHeight="1" x14ac:dyDescent="0.2">
      <c r="A15" s="301" t="s">
        <v>17</v>
      </c>
      <c r="B15" s="448">
        <v>0.57731958762886593</v>
      </c>
      <c r="C15" s="448">
        <v>0.58333333333333337</v>
      </c>
      <c r="D15" s="448">
        <v>0.58515283842794763</v>
      </c>
      <c r="E15" s="448">
        <f t="shared" si="1"/>
        <v>7.8332507990817035E-3</v>
      </c>
      <c r="F15" s="447">
        <v>229</v>
      </c>
      <c r="G15" s="417">
        <f t="shared" si="2"/>
        <v>1</v>
      </c>
      <c r="H15" s="421">
        <f t="shared" si="0"/>
        <v>4000</v>
      </c>
    </row>
    <row r="16" spans="1:8" ht="15" customHeight="1" x14ac:dyDescent="0.2">
      <c r="A16" s="301" t="s">
        <v>194</v>
      </c>
      <c r="B16" s="448">
        <v>0.53267512929007987</v>
      </c>
      <c r="C16" s="448">
        <v>0.53081621321488059</v>
      </c>
      <c r="D16" s="448">
        <v>0.53958587088915955</v>
      </c>
      <c r="E16" s="448">
        <f t="shared" si="1"/>
        <v>6.9107415990796728E-3</v>
      </c>
      <c r="F16" s="447">
        <v>1642</v>
      </c>
      <c r="G16" s="417">
        <f t="shared" si="2"/>
        <v>3</v>
      </c>
      <c r="H16" s="421">
        <f t="shared" si="0"/>
        <v>12000</v>
      </c>
    </row>
    <row r="17" spans="1:8" ht="15" customHeight="1" x14ac:dyDescent="0.2">
      <c r="A17" s="301" t="s">
        <v>222</v>
      </c>
      <c r="B17" s="448">
        <v>0.5752212389380531</v>
      </c>
      <c r="C17" s="448">
        <v>0.65151515151515149</v>
      </c>
      <c r="D17" s="448">
        <v>0.60169491525423724</v>
      </c>
      <c r="E17" s="448">
        <f t="shared" si="1"/>
        <v>2.6473676316184136E-2</v>
      </c>
      <c r="F17" s="447">
        <v>118</v>
      </c>
      <c r="G17" s="417">
        <f t="shared" si="2"/>
        <v>3</v>
      </c>
      <c r="H17" s="421">
        <f t="shared" si="0"/>
        <v>12000</v>
      </c>
    </row>
    <row r="18" spans="1:8" ht="15" customHeight="1" x14ac:dyDescent="0.2">
      <c r="A18" s="301" t="s">
        <v>196</v>
      </c>
      <c r="B18" s="448">
        <v>0.546692607003891</v>
      </c>
      <c r="C18" s="448">
        <v>0.51960784313725494</v>
      </c>
      <c r="D18" s="448">
        <v>0.56554307116104874</v>
      </c>
      <c r="E18" s="448">
        <f t="shared" si="1"/>
        <v>1.8850464157157742E-2</v>
      </c>
      <c r="F18" s="447">
        <v>534</v>
      </c>
      <c r="G18" s="417">
        <f t="shared" si="2"/>
        <v>7</v>
      </c>
      <c r="H18" s="421">
        <f t="shared" si="0"/>
        <v>28000</v>
      </c>
    </row>
    <row r="19" spans="1:8" ht="15" customHeight="1" x14ac:dyDescent="0.2">
      <c r="A19" s="456" t="s">
        <v>223</v>
      </c>
      <c r="B19" s="448">
        <v>0.60103626943005184</v>
      </c>
      <c r="C19" s="448">
        <v>0.71363636363636362</v>
      </c>
      <c r="D19" s="448">
        <v>0.56950672645739908</v>
      </c>
      <c r="E19" s="448">
        <f t="shared" si="1"/>
        <v>-3.1529542972652758E-2</v>
      </c>
      <c r="F19" s="447">
        <v>223</v>
      </c>
      <c r="G19" s="417">
        <f t="shared" si="2"/>
        <v>0</v>
      </c>
      <c r="H19" s="421">
        <f t="shared" si="0"/>
        <v>0</v>
      </c>
    </row>
    <row r="20" spans="1:8" ht="15" customHeight="1" x14ac:dyDescent="0.2">
      <c r="A20" s="301" t="s">
        <v>132</v>
      </c>
      <c r="B20" s="448">
        <v>0.62105263157894741</v>
      </c>
      <c r="C20" s="448">
        <v>0.60475482912332834</v>
      </c>
      <c r="D20" s="448">
        <v>0.62112211221122116</v>
      </c>
      <c r="E20" s="448">
        <f t="shared" si="1"/>
        <v>6.9480632273744014E-5</v>
      </c>
      <c r="F20" s="447">
        <v>1515</v>
      </c>
      <c r="G20" s="417">
        <f t="shared" si="2"/>
        <v>0</v>
      </c>
      <c r="H20" s="421">
        <f t="shared" si="0"/>
        <v>0</v>
      </c>
    </row>
    <row r="21" spans="1:8" ht="15" customHeight="1" x14ac:dyDescent="0.2">
      <c r="A21" s="301" t="s">
        <v>133</v>
      </c>
      <c r="B21" s="448">
        <v>0.58383233532934131</v>
      </c>
      <c r="C21" s="448">
        <v>0.59774436090225569</v>
      </c>
      <c r="D21" s="448">
        <v>0.57842323651452288</v>
      </c>
      <c r="E21" s="448">
        <f t="shared" si="1"/>
        <v>-5.409098814818436E-3</v>
      </c>
      <c r="F21" s="447">
        <v>1205</v>
      </c>
      <c r="G21" s="417">
        <f t="shared" si="2"/>
        <v>0</v>
      </c>
      <c r="H21" s="421">
        <f t="shared" si="0"/>
        <v>0</v>
      </c>
    </row>
    <row r="22" spans="1:8" ht="15" customHeight="1" x14ac:dyDescent="0.2">
      <c r="A22" s="449" t="s">
        <v>63</v>
      </c>
      <c r="B22" s="450">
        <v>0.65240641711229952</v>
      </c>
      <c r="C22" s="450">
        <v>0.61250000000000004</v>
      </c>
      <c r="D22" s="450">
        <v>0.66143497757847536</v>
      </c>
      <c r="E22" s="450">
        <f t="shared" si="1"/>
        <v>9.028560466175839E-3</v>
      </c>
      <c r="F22" s="451">
        <v>446</v>
      </c>
      <c r="G22" s="422">
        <f>SUM(G23:G27)</f>
        <v>12</v>
      </c>
      <c r="H22" s="423">
        <f>SUM(H23:H27)</f>
        <v>48000</v>
      </c>
    </row>
    <row r="23" spans="1:8" ht="15" customHeight="1" x14ac:dyDescent="0.2">
      <c r="A23" s="301" t="s">
        <v>274</v>
      </c>
      <c r="B23" s="448">
        <v>0.66249999999999998</v>
      </c>
      <c r="C23" s="448">
        <v>0.66666666666666663</v>
      </c>
      <c r="D23" s="448">
        <v>0.64646464646464652</v>
      </c>
      <c r="E23" s="448">
        <f t="shared" si="1"/>
        <v>-1.6035353535353458E-2</v>
      </c>
      <c r="F23" s="447">
        <v>99</v>
      </c>
      <c r="G23" s="417">
        <f t="shared" si="2"/>
        <v>0</v>
      </c>
      <c r="H23" s="421">
        <f t="shared" ref="H23:H36" si="3">G23*H$47</f>
        <v>0</v>
      </c>
    </row>
    <row r="24" spans="1:8" ht="15" customHeight="1" x14ac:dyDescent="0.2">
      <c r="A24" s="301" t="s">
        <v>275</v>
      </c>
      <c r="B24" s="448">
        <v>0.64227642276422769</v>
      </c>
      <c r="C24" s="448">
        <v>0.5423728813559322</v>
      </c>
      <c r="D24" s="448">
        <v>0.58536585365853655</v>
      </c>
      <c r="E24" s="448">
        <f t="shared" si="1"/>
        <v>-5.6910569105691144E-2</v>
      </c>
      <c r="F24" s="447">
        <v>123</v>
      </c>
      <c r="G24" s="417">
        <f t="shared" si="2"/>
        <v>0</v>
      </c>
      <c r="H24" s="421">
        <f t="shared" si="3"/>
        <v>0</v>
      </c>
    </row>
    <row r="25" spans="1:8" ht="15" customHeight="1" x14ac:dyDescent="0.2">
      <c r="A25" s="301" t="s">
        <v>276</v>
      </c>
      <c r="B25" s="448">
        <v>0.57777777777777772</v>
      </c>
      <c r="C25" s="448">
        <v>0.60824742268041232</v>
      </c>
      <c r="D25" s="448">
        <v>0.70652173913043481</v>
      </c>
      <c r="E25" s="448">
        <f t="shared" si="1"/>
        <v>0.12874396135265709</v>
      </c>
      <c r="F25" s="447">
        <v>92</v>
      </c>
      <c r="G25" s="417">
        <f t="shared" si="2"/>
        <v>11</v>
      </c>
      <c r="H25" s="421">
        <f t="shared" si="3"/>
        <v>44000</v>
      </c>
    </row>
    <row r="26" spans="1:8" ht="15" customHeight="1" x14ac:dyDescent="0.2">
      <c r="A26" s="301" t="s">
        <v>277</v>
      </c>
      <c r="B26" s="448">
        <v>0.8125</v>
      </c>
      <c r="C26" s="448">
        <v>0.67500000000000004</v>
      </c>
      <c r="D26" s="448">
        <v>0.70588235294117652</v>
      </c>
      <c r="E26" s="448">
        <f t="shared" si="1"/>
        <v>-0.10661764705882348</v>
      </c>
      <c r="F26" s="447">
        <v>51</v>
      </c>
      <c r="G26" s="417">
        <f t="shared" si="2"/>
        <v>0</v>
      </c>
      <c r="H26" s="421">
        <f t="shared" si="3"/>
        <v>0</v>
      </c>
    </row>
    <row r="27" spans="1:8" ht="15" customHeight="1" x14ac:dyDescent="0.2">
      <c r="A27" s="301" t="s">
        <v>278</v>
      </c>
      <c r="B27" s="448">
        <v>0.69387755102040816</v>
      </c>
      <c r="C27" s="448">
        <v>0.63793103448275867</v>
      </c>
      <c r="D27" s="448">
        <v>0.71604938271604934</v>
      </c>
      <c r="E27" s="448">
        <f t="shared" si="1"/>
        <v>2.2171831695641186E-2</v>
      </c>
      <c r="F27" s="447">
        <v>81</v>
      </c>
      <c r="G27" s="417">
        <f t="shared" si="2"/>
        <v>1</v>
      </c>
      <c r="H27" s="421">
        <f t="shared" si="3"/>
        <v>4000</v>
      </c>
    </row>
    <row r="28" spans="1:8" ht="15" customHeight="1" x14ac:dyDescent="0.2">
      <c r="A28" s="301" t="s">
        <v>229</v>
      </c>
      <c r="B28" s="448">
        <v>0.58893280632411071</v>
      </c>
      <c r="C28" s="448">
        <v>0.55319148936170215</v>
      </c>
      <c r="D28" s="448">
        <v>0.56000000000000005</v>
      </c>
      <c r="E28" s="448">
        <f t="shared" si="1"/>
        <v>-2.893280632411066E-2</v>
      </c>
      <c r="F28" s="447">
        <v>325</v>
      </c>
      <c r="G28" s="417">
        <f t="shared" si="2"/>
        <v>0</v>
      </c>
      <c r="H28" s="421">
        <f t="shared" si="3"/>
        <v>0</v>
      </c>
    </row>
    <row r="29" spans="1:8" ht="15" customHeight="1" x14ac:dyDescent="0.2">
      <c r="A29" s="301" t="s">
        <v>203</v>
      </c>
      <c r="B29" s="448">
        <v>0.39</v>
      </c>
      <c r="C29" s="448">
        <v>0.56000000000000005</v>
      </c>
      <c r="D29" s="448">
        <v>0.45238095238095238</v>
      </c>
      <c r="E29" s="448">
        <f t="shared" si="1"/>
        <v>6.238095238095237E-2</v>
      </c>
      <c r="F29" s="447">
        <v>84</v>
      </c>
      <c r="G29" s="417">
        <f t="shared" si="2"/>
        <v>5</v>
      </c>
      <c r="H29" s="421">
        <f t="shared" si="3"/>
        <v>20000</v>
      </c>
    </row>
    <row r="30" spans="1:8" ht="15" customHeight="1" x14ac:dyDescent="0.2">
      <c r="A30" s="301" t="s">
        <v>204</v>
      </c>
      <c r="B30" s="448">
        <v>0.65909090909090906</v>
      </c>
      <c r="C30" s="448">
        <v>0.56818181818181823</v>
      </c>
      <c r="D30" s="448">
        <v>0.5901639344262295</v>
      </c>
      <c r="E30" s="448">
        <f t="shared" si="1"/>
        <v>-6.8926974664679563E-2</v>
      </c>
      <c r="F30" s="447">
        <v>61</v>
      </c>
      <c r="G30" s="417">
        <f t="shared" si="2"/>
        <v>0</v>
      </c>
      <c r="H30" s="421">
        <f t="shared" si="3"/>
        <v>0</v>
      </c>
    </row>
    <row r="31" spans="1:8" ht="15" customHeight="1" x14ac:dyDescent="0.2">
      <c r="A31" s="301" t="s">
        <v>36</v>
      </c>
      <c r="B31" s="448">
        <v>0.55084745762711862</v>
      </c>
      <c r="C31" s="448">
        <v>0.61751152073732718</v>
      </c>
      <c r="D31" s="448">
        <v>0.55970149253731338</v>
      </c>
      <c r="E31" s="448">
        <f t="shared" si="1"/>
        <v>8.8540349101947635E-3</v>
      </c>
      <c r="F31" s="447">
        <v>268</v>
      </c>
      <c r="G31" s="417">
        <f t="shared" si="2"/>
        <v>1</v>
      </c>
      <c r="H31" s="421">
        <f t="shared" si="3"/>
        <v>4000</v>
      </c>
    </row>
    <row r="32" spans="1:8" ht="15" customHeight="1" x14ac:dyDescent="0.2">
      <c r="A32" s="301" t="s">
        <v>131</v>
      </c>
      <c r="B32" s="448">
        <v>0.61904761904761907</v>
      </c>
      <c r="C32" s="448">
        <v>0.67906976744186043</v>
      </c>
      <c r="D32" s="448">
        <v>0.57746478873239437</v>
      </c>
      <c r="E32" s="448">
        <f t="shared" si="1"/>
        <v>-4.1582830315224695E-2</v>
      </c>
      <c r="F32" s="447">
        <v>213</v>
      </c>
      <c r="G32" s="417">
        <f t="shared" si="2"/>
        <v>0</v>
      </c>
      <c r="H32" s="421">
        <f t="shared" si="3"/>
        <v>0</v>
      </c>
    </row>
    <row r="33" spans="1:8" ht="15" customHeight="1" x14ac:dyDescent="0.2">
      <c r="A33" s="301" t="s">
        <v>205</v>
      </c>
      <c r="B33" s="448">
        <v>0.53448275862068961</v>
      </c>
      <c r="C33" s="448">
        <v>0.55555555555555558</v>
      </c>
      <c r="D33" s="448">
        <v>0.5811320754716981</v>
      </c>
      <c r="E33" s="448">
        <f t="shared" si="1"/>
        <v>4.6649316851008482E-2</v>
      </c>
      <c r="F33" s="447">
        <v>530</v>
      </c>
      <c r="G33" s="417">
        <f t="shared" si="2"/>
        <v>22</v>
      </c>
      <c r="H33" s="421">
        <f t="shared" si="3"/>
        <v>88000</v>
      </c>
    </row>
    <row r="34" spans="1:8" ht="15" customHeight="1" x14ac:dyDescent="0.2">
      <c r="A34" s="301" t="s">
        <v>206</v>
      </c>
      <c r="B34" s="448">
        <v>0.55785123966942152</v>
      </c>
      <c r="C34" s="448">
        <v>0.51318458417849899</v>
      </c>
      <c r="D34" s="448">
        <v>0.5195729537366548</v>
      </c>
      <c r="E34" s="448">
        <f t="shared" si="1"/>
        <v>-3.827828593276672E-2</v>
      </c>
      <c r="F34" s="447">
        <v>562</v>
      </c>
      <c r="G34" s="417">
        <f t="shared" si="2"/>
        <v>0</v>
      </c>
      <c r="H34" s="421">
        <f t="shared" si="3"/>
        <v>0</v>
      </c>
    </row>
    <row r="35" spans="1:8" ht="15" customHeight="1" x14ac:dyDescent="0.2">
      <c r="A35" s="301" t="s">
        <v>70</v>
      </c>
      <c r="B35" s="448">
        <v>0.55309973045822103</v>
      </c>
      <c r="C35" s="448">
        <v>0.59190957763236174</v>
      </c>
      <c r="D35" s="448">
        <v>0.57734806629834257</v>
      </c>
      <c r="E35" s="448">
        <f t="shared" si="1"/>
        <v>2.4248335840121538E-2</v>
      </c>
      <c r="F35" s="447">
        <v>1810</v>
      </c>
      <c r="G35" s="417">
        <f t="shared" si="2"/>
        <v>35</v>
      </c>
      <c r="H35" s="421">
        <f t="shared" si="3"/>
        <v>140000</v>
      </c>
    </row>
    <row r="36" spans="1:8" ht="15" customHeight="1" x14ac:dyDescent="0.2">
      <c r="A36" s="301" t="s">
        <v>117</v>
      </c>
      <c r="B36" s="448">
        <v>0.61038961038961037</v>
      </c>
      <c r="C36" s="448">
        <v>0.63666666666666671</v>
      </c>
      <c r="D36" s="448">
        <v>0.68975903614457834</v>
      </c>
      <c r="E36" s="448">
        <f t="shared" si="1"/>
        <v>7.936942575496797E-2</v>
      </c>
      <c r="F36" s="447">
        <v>332</v>
      </c>
      <c r="G36" s="417">
        <f t="shared" si="2"/>
        <v>25</v>
      </c>
      <c r="H36" s="421">
        <f t="shared" si="3"/>
        <v>100000</v>
      </c>
    </row>
    <row r="37" spans="1:8" ht="15" customHeight="1" x14ac:dyDescent="0.2">
      <c r="A37" s="302" t="s">
        <v>207</v>
      </c>
      <c r="B37" s="450">
        <v>0.57547355312315662</v>
      </c>
      <c r="C37" s="450">
        <v>0.5850917114880706</v>
      </c>
      <c r="D37" s="450">
        <v>0.58955070778909935</v>
      </c>
      <c r="E37" s="450">
        <f t="shared" si="1"/>
        <v>1.4077154665942726E-2</v>
      </c>
      <c r="F37" s="452">
        <v>14623</v>
      </c>
      <c r="G37" s="422">
        <f>SUM(G6:G22,G28:G36)</f>
        <v>202</v>
      </c>
      <c r="H37" s="420">
        <f>SUM(H6:H22,H28:H36)</f>
        <v>808000</v>
      </c>
    </row>
    <row r="38" spans="1:8" ht="15" customHeight="1" x14ac:dyDescent="0.2">
      <c r="A38" s="301" t="s">
        <v>208</v>
      </c>
      <c r="B38" s="448">
        <v>0.78172588832487311</v>
      </c>
      <c r="C38" s="448">
        <v>0.76142131979695427</v>
      </c>
      <c r="D38" s="448">
        <v>0.77192982456140347</v>
      </c>
      <c r="E38" s="448">
        <f t="shared" si="1"/>
        <v>-9.7960637634696424E-3</v>
      </c>
      <c r="F38" s="447">
        <v>228</v>
      </c>
      <c r="G38" s="417">
        <f t="shared" si="2"/>
        <v>0</v>
      </c>
      <c r="H38" s="421">
        <f t="shared" ref="H38:H45" si="4">G38*H$47</f>
        <v>0</v>
      </c>
    </row>
    <row r="39" spans="1:8" ht="15" customHeight="1" x14ac:dyDescent="0.2">
      <c r="A39" s="301" t="s">
        <v>140</v>
      </c>
      <c r="B39" s="448">
        <v>0.78056680161943315</v>
      </c>
      <c r="C39" s="448">
        <v>0.77617905675459631</v>
      </c>
      <c r="D39" s="448">
        <v>0.77178103315343094</v>
      </c>
      <c r="E39" s="448">
        <f t="shared" si="1"/>
        <v>-8.7857684660022084E-3</v>
      </c>
      <c r="F39" s="447">
        <v>1297</v>
      </c>
      <c r="G39" s="417">
        <f t="shared" si="2"/>
        <v>0</v>
      </c>
      <c r="H39" s="421">
        <f t="shared" si="4"/>
        <v>0</v>
      </c>
    </row>
    <row r="40" spans="1:8" ht="15" customHeight="1" x14ac:dyDescent="0.2">
      <c r="A40" s="301" t="s">
        <v>209</v>
      </c>
      <c r="B40" s="448">
        <v>0.82522796352583583</v>
      </c>
      <c r="C40" s="448">
        <v>0.79700272479564027</v>
      </c>
      <c r="D40" s="448">
        <v>0.83081155433287479</v>
      </c>
      <c r="E40" s="448">
        <f t="shared" si="1"/>
        <v>5.5835908070389628E-3</v>
      </c>
      <c r="F40" s="447">
        <v>727</v>
      </c>
      <c r="G40" s="417">
        <f t="shared" si="2"/>
        <v>0</v>
      </c>
      <c r="H40" s="421">
        <f t="shared" si="4"/>
        <v>0</v>
      </c>
    </row>
    <row r="41" spans="1:8" ht="15" customHeight="1" x14ac:dyDescent="0.2">
      <c r="A41" s="301" t="s">
        <v>210</v>
      </c>
      <c r="B41" s="448">
        <v>0.73195876288659789</v>
      </c>
      <c r="C41" s="448">
        <v>0.74489795918367352</v>
      </c>
      <c r="D41" s="448">
        <v>0.74235807860262004</v>
      </c>
      <c r="E41" s="448">
        <f t="shared" si="1"/>
        <v>1.0399315716022151E-2</v>
      </c>
      <c r="F41" s="447">
        <v>229</v>
      </c>
      <c r="G41" s="417">
        <f t="shared" si="2"/>
        <v>1</v>
      </c>
      <c r="H41" s="421">
        <f t="shared" si="4"/>
        <v>4000</v>
      </c>
    </row>
    <row r="42" spans="1:8" ht="15" customHeight="1" x14ac:dyDescent="0.2">
      <c r="A42" s="301" t="s">
        <v>211</v>
      </c>
      <c r="B42" s="448">
        <v>0.82763532763532766</v>
      </c>
      <c r="C42" s="448">
        <v>0.78288633461047252</v>
      </c>
      <c r="D42" s="448">
        <v>0.78289473684210531</v>
      </c>
      <c r="E42" s="448">
        <f t="shared" si="1"/>
        <v>-4.4740590793222346E-2</v>
      </c>
      <c r="F42" s="447">
        <v>760</v>
      </c>
      <c r="G42" s="417">
        <f t="shared" si="2"/>
        <v>0</v>
      </c>
      <c r="H42" s="421">
        <f t="shared" si="4"/>
        <v>0</v>
      </c>
    </row>
    <row r="43" spans="1:8" ht="15" customHeight="1" x14ac:dyDescent="0.2">
      <c r="A43" s="301" t="s">
        <v>212</v>
      </c>
      <c r="B43" s="448">
        <v>0.74782608695652175</v>
      </c>
      <c r="C43" s="448">
        <v>0.75177304964539005</v>
      </c>
      <c r="D43" s="448">
        <v>0.73743016759776536</v>
      </c>
      <c r="E43" s="448">
        <f t="shared" si="1"/>
        <v>-1.0395919358756389E-2</v>
      </c>
      <c r="F43" s="447">
        <v>179</v>
      </c>
      <c r="G43" s="417">
        <f t="shared" si="2"/>
        <v>0</v>
      </c>
      <c r="H43" s="421">
        <f t="shared" si="4"/>
        <v>0</v>
      </c>
    </row>
    <row r="44" spans="1:8" ht="15" customHeight="1" x14ac:dyDescent="0.2">
      <c r="A44" s="301" t="s">
        <v>213</v>
      </c>
      <c r="B44" s="448">
        <v>0.86891385767790263</v>
      </c>
      <c r="C44" s="448">
        <v>0.85016286644951145</v>
      </c>
      <c r="D44" s="448">
        <v>0.87414965986394555</v>
      </c>
      <c r="E44" s="448">
        <f t="shared" si="1"/>
        <v>5.2358021860429149E-3</v>
      </c>
      <c r="F44" s="447">
        <v>294</v>
      </c>
      <c r="G44" s="417">
        <f t="shared" si="2"/>
        <v>0</v>
      </c>
      <c r="H44" s="421">
        <f t="shared" si="4"/>
        <v>0</v>
      </c>
    </row>
    <row r="45" spans="1:8" ht="15" customHeight="1" x14ac:dyDescent="0.2">
      <c r="A45" s="302" t="s">
        <v>214</v>
      </c>
      <c r="B45" s="450">
        <v>0.80225653206650827</v>
      </c>
      <c r="C45" s="450">
        <v>0.78470490440565255</v>
      </c>
      <c r="D45" s="450">
        <v>0.79025309639203012</v>
      </c>
      <c r="E45" s="450">
        <f t="shared" si="1"/>
        <v>-1.2003435674478147E-2</v>
      </c>
      <c r="F45" s="451">
        <v>3714</v>
      </c>
      <c r="G45" s="422">
        <f>SUM(G38:G44)</f>
        <v>1</v>
      </c>
      <c r="H45" s="424">
        <f t="shared" si="4"/>
        <v>4000</v>
      </c>
    </row>
    <row r="46" spans="1:8" ht="15" customHeight="1" x14ac:dyDescent="0.2">
      <c r="A46" s="303" t="s">
        <v>215</v>
      </c>
      <c r="B46" s="453">
        <v>0.61648322147651002</v>
      </c>
      <c r="C46" s="453">
        <v>0.62486886422616095</v>
      </c>
      <c r="D46" s="453">
        <v>0.63020123248077653</v>
      </c>
      <c r="E46" s="453">
        <f t="shared" si="1"/>
        <v>1.3718011004266506E-2</v>
      </c>
      <c r="F46" s="454">
        <v>18337</v>
      </c>
      <c r="G46" s="426">
        <f>G37+G45</f>
        <v>203</v>
      </c>
      <c r="H46" s="425">
        <f>H37+H45</f>
        <v>812000</v>
      </c>
    </row>
    <row r="47" spans="1:8" ht="15" customHeight="1" x14ac:dyDescent="0.2">
      <c r="A47" s="441" t="s">
        <v>281</v>
      </c>
      <c r="B47" s="455"/>
      <c r="C47" s="455"/>
      <c r="D47" s="455"/>
      <c r="E47" s="455"/>
      <c r="F47" s="455"/>
      <c r="G47" s="455"/>
      <c r="H47" s="444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5" bottom="0.5" header="0" footer="0.3"/>
  <pageSetup scale="95" orientation="portrait" r:id="rId1"/>
  <headerFooter>
    <oddFooter>&amp;LSource: System Office Research - Academic and Student Affairs   
&amp;Z&amp;F&amp;A
February 5,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L44"/>
  <sheetViews>
    <sheetView zoomScale="80" zoomScaleNormal="80" workbookViewId="0">
      <selection activeCell="H38" sqref="H38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10" max="10" width="0" hidden="1" customWidth="1"/>
    <col min="11" max="11" width="14.5703125" hidden="1" customWidth="1"/>
    <col min="12" max="12" width="0" hidden="1" customWidth="1"/>
  </cols>
  <sheetData>
    <row r="1" spans="1:12" ht="15" customHeight="1" x14ac:dyDescent="0.25">
      <c r="A1" s="36" t="s">
        <v>254</v>
      </c>
      <c r="H1" s="465" t="s">
        <v>292</v>
      </c>
    </row>
    <row r="2" spans="1:12" ht="15" customHeight="1" x14ac:dyDescent="0.2">
      <c r="A2" s="4" t="s">
        <v>90</v>
      </c>
    </row>
    <row r="3" spans="1:12" ht="15" customHeight="1" x14ac:dyDescent="0.2">
      <c r="A3" s="4" t="s">
        <v>282</v>
      </c>
    </row>
    <row r="5" spans="1:12" ht="15" customHeight="1" x14ac:dyDescent="0.2">
      <c r="H5" s="205" t="s">
        <v>143</v>
      </c>
    </row>
    <row r="6" spans="1:12" ht="15" customHeight="1" x14ac:dyDescent="0.2">
      <c r="C6" s="205" t="s">
        <v>79</v>
      </c>
      <c r="D6" s="205" t="s">
        <v>74</v>
      </c>
      <c r="E6" s="205" t="s">
        <v>75</v>
      </c>
      <c r="F6" s="205" t="s">
        <v>76</v>
      </c>
      <c r="G6" s="205"/>
      <c r="H6" s="32" t="s">
        <v>77</v>
      </c>
    </row>
    <row r="7" spans="1:12" ht="61.5" customHeight="1" x14ac:dyDescent="0.2">
      <c r="A7" s="215" t="s">
        <v>0</v>
      </c>
      <c r="B7" s="216" t="s">
        <v>83</v>
      </c>
      <c r="C7" s="215" t="s">
        <v>144</v>
      </c>
      <c r="D7" s="31" t="s">
        <v>145</v>
      </c>
      <c r="E7" s="33" t="s">
        <v>92</v>
      </c>
      <c r="F7" s="217" t="s">
        <v>119</v>
      </c>
      <c r="H7" s="30" t="s">
        <v>91</v>
      </c>
    </row>
    <row r="8" spans="1:12" ht="15" customHeight="1" x14ac:dyDescent="0.2">
      <c r="B8" s="34"/>
      <c r="D8" s="11"/>
      <c r="F8" s="11"/>
      <c r="L8">
        <f>G8-I8</f>
        <v>0</v>
      </c>
    </row>
    <row r="9" spans="1:12" ht="15" customHeight="1" x14ac:dyDescent="0.2">
      <c r="A9" s="218" t="s">
        <v>2</v>
      </c>
      <c r="B9" s="219" t="s">
        <v>128</v>
      </c>
      <c r="C9" s="220">
        <v>23483</v>
      </c>
      <c r="D9" s="220">
        <v>65529</v>
      </c>
      <c r="E9" s="220">
        <f>C9+D9</f>
        <v>89012</v>
      </c>
      <c r="F9" s="221">
        <f>'Revenue Offset'!G8</f>
        <v>0.45624173096297904</v>
      </c>
      <c r="H9" s="35">
        <f>E9*(1-F9)</f>
        <v>48401.011043523307</v>
      </c>
    </row>
    <row r="10" spans="1:12" s="54" customFormat="1" ht="15" customHeight="1" x14ac:dyDescent="0.2">
      <c r="A10" s="218" t="s">
        <v>4</v>
      </c>
      <c r="B10" s="219" t="s">
        <v>124</v>
      </c>
      <c r="C10" s="222"/>
      <c r="D10" s="223">
        <v>49992</v>
      </c>
      <c r="E10" s="220">
        <f t="shared" ref="E10:E38" si="0">C10+D10</f>
        <v>49992</v>
      </c>
      <c r="F10" s="221">
        <f>'Revenue Offset'!G9</f>
        <v>0.50834573778135927</v>
      </c>
      <c r="H10" s="35">
        <f t="shared" ref="H10:H38" si="1">E10*(1-F10)</f>
        <v>24578.779876834287</v>
      </c>
    </row>
    <row r="11" spans="1:12" ht="15" customHeight="1" x14ac:dyDescent="0.2">
      <c r="A11" s="218" t="s">
        <v>5</v>
      </c>
      <c r="B11" s="219" t="s">
        <v>113</v>
      </c>
      <c r="C11" s="224"/>
      <c r="D11" s="224">
        <v>59338</v>
      </c>
      <c r="E11" s="220">
        <f t="shared" si="0"/>
        <v>59338</v>
      </c>
      <c r="F11" s="221">
        <f>'Revenue Offset'!G10</f>
        <v>0.60988099843552557</v>
      </c>
      <c r="H11" s="35">
        <f t="shared" si="1"/>
        <v>23148.881314832783</v>
      </c>
      <c r="K11" s="24"/>
    </row>
    <row r="12" spans="1:12" ht="15" customHeight="1" x14ac:dyDescent="0.2">
      <c r="A12" s="218" t="s">
        <v>6</v>
      </c>
      <c r="B12" s="219" t="s">
        <v>7</v>
      </c>
      <c r="C12" s="220"/>
      <c r="D12" s="220">
        <v>229162</v>
      </c>
      <c r="E12" s="220">
        <f t="shared" si="0"/>
        <v>229162</v>
      </c>
      <c r="F12" s="221">
        <f>'Revenue Offset'!G11</f>
        <v>0.42490060598437657</v>
      </c>
      <c r="H12" s="35">
        <f t="shared" si="1"/>
        <v>131790.92733140831</v>
      </c>
    </row>
    <row r="13" spans="1:12" ht="15" customHeight="1" x14ac:dyDescent="0.2">
      <c r="A13" s="218" t="s">
        <v>8</v>
      </c>
      <c r="B13" s="219" t="s">
        <v>9</v>
      </c>
      <c r="C13" s="220"/>
      <c r="D13" s="220">
        <v>172537</v>
      </c>
      <c r="E13" s="220">
        <f t="shared" si="0"/>
        <v>172537</v>
      </c>
      <c r="F13" s="221">
        <f>'Revenue Offset'!G12</f>
        <v>0.51986557297531943</v>
      </c>
      <c r="H13" s="35">
        <f t="shared" si="1"/>
        <v>82840.953635557307</v>
      </c>
    </row>
    <row r="14" spans="1:12" ht="15" customHeight="1" x14ac:dyDescent="0.2">
      <c r="A14" s="218" t="s">
        <v>10</v>
      </c>
      <c r="B14" s="3" t="s">
        <v>146</v>
      </c>
      <c r="C14" s="220"/>
      <c r="D14" s="220">
        <v>548570</v>
      </c>
      <c r="E14" s="220">
        <f t="shared" si="0"/>
        <v>548570</v>
      </c>
      <c r="F14" s="221">
        <f>'Revenue Offset'!G13</f>
        <v>0.48658479272534444</v>
      </c>
      <c r="H14" s="35">
        <f t="shared" si="1"/>
        <v>281644.18025465781</v>
      </c>
    </row>
    <row r="15" spans="1:12" ht="15" customHeight="1" x14ac:dyDescent="0.2">
      <c r="A15" s="218" t="s">
        <v>12</v>
      </c>
      <c r="B15" s="219" t="s">
        <v>13</v>
      </c>
      <c r="C15" s="220"/>
      <c r="D15" s="220"/>
      <c r="E15" s="220">
        <f t="shared" si="0"/>
        <v>0</v>
      </c>
      <c r="F15" s="221">
        <f>'Revenue Offset'!G14</f>
        <v>0.38701773848753035</v>
      </c>
      <c r="H15" s="35">
        <f t="shared" si="1"/>
        <v>0</v>
      </c>
    </row>
    <row r="16" spans="1:12" ht="15" customHeight="1" x14ac:dyDescent="0.2">
      <c r="A16" s="218" t="s">
        <v>14</v>
      </c>
      <c r="B16" s="219" t="s">
        <v>139</v>
      </c>
      <c r="C16" s="220"/>
      <c r="D16" s="220"/>
      <c r="E16" s="220">
        <f t="shared" si="0"/>
        <v>0</v>
      </c>
      <c r="F16" s="221">
        <f>'Revenue Offset'!G15</f>
        <v>0.43354811038127306</v>
      </c>
      <c r="H16" s="35">
        <f t="shared" si="1"/>
        <v>0</v>
      </c>
    </row>
    <row r="17" spans="1:8" ht="15" customHeight="1" x14ac:dyDescent="0.2">
      <c r="A17" s="218" t="s">
        <v>16</v>
      </c>
      <c r="B17" s="219" t="s">
        <v>17</v>
      </c>
      <c r="C17" s="220"/>
      <c r="D17" s="220">
        <v>7282</v>
      </c>
      <c r="E17" s="220">
        <f t="shared" si="0"/>
        <v>7282</v>
      </c>
      <c r="F17" s="221">
        <f>'Revenue Offset'!G16</f>
        <v>0.47449863887623561</v>
      </c>
      <c r="H17" s="35">
        <f t="shared" si="1"/>
        <v>3826.7009117032526</v>
      </c>
    </row>
    <row r="18" spans="1:8" ht="15" customHeight="1" x14ac:dyDescent="0.2">
      <c r="A18" s="218" t="s">
        <v>18</v>
      </c>
      <c r="B18" s="219" t="s">
        <v>140</v>
      </c>
      <c r="C18" s="220">
        <v>32422</v>
      </c>
      <c r="D18" s="220">
        <v>23669</v>
      </c>
      <c r="E18" s="220">
        <f t="shared" si="0"/>
        <v>56091</v>
      </c>
      <c r="F18" s="221">
        <f>'Revenue Offset'!G17</f>
        <v>0.60709468026712787</v>
      </c>
      <c r="H18" s="35">
        <f t="shared" si="1"/>
        <v>22038.45228913653</v>
      </c>
    </row>
    <row r="19" spans="1:8" ht="15" customHeight="1" x14ac:dyDescent="0.2">
      <c r="A19" s="218" t="s">
        <v>19</v>
      </c>
      <c r="B19" s="219" t="s">
        <v>129</v>
      </c>
      <c r="C19" s="220"/>
      <c r="D19" s="220">
        <v>26161</v>
      </c>
      <c r="E19" s="220">
        <f t="shared" si="0"/>
        <v>26161</v>
      </c>
      <c r="F19" s="221">
        <f>'Revenue Offset'!G18</f>
        <v>0.48032518569439686</v>
      </c>
      <c r="H19" s="35">
        <f t="shared" si="1"/>
        <v>13595.212817048883</v>
      </c>
    </row>
    <row r="20" spans="1:8" ht="15" customHeight="1" x14ac:dyDescent="0.2">
      <c r="A20" s="218" t="s">
        <v>21</v>
      </c>
      <c r="B20" s="225" t="s">
        <v>177</v>
      </c>
      <c r="C20" s="220">
        <v>3086</v>
      </c>
      <c r="D20" s="220"/>
      <c r="E20" s="220">
        <f t="shared" si="0"/>
        <v>3086</v>
      </c>
      <c r="F20" s="221">
        <f>'Revenue Offset'!G19</f>
        <v>0.41354569882419179</v>
      </c>
      <c r="H20" s="35">
        <f t="shared" si="1"/>
        <v>1809.7979734285441</v>
      </c>
    </row>
    <row r="21" spans="1:8" ht="15" customHeight="1" x14ac:dyDescent="0.2">
      <c r="A21" s="218" t="s">
        <v>109</v>
      </c>
      <c r="B21" s="219" t="s">
        <v>141</v>
      </c>
      <c r="C21" s="220"/>
      <c r="D21" s="220"/>
      <c r="E21" s="220">
        <f t="shared" si="0"/>
        <v>0</v>
      </c>
      <c r="F21" s="221">
        <f>'Revenue Offset'!G20</f>
        <v>0.47853785466514365</v>
      </c>
      <c r="H21" s="35">
        <f t="shared" si="1"/>
        <v>0</v>
      </c>
    </row>
    <row r="22" spans="1:8" ht="15" customHeight="1" x14ac:dyDescent="0.2">
      <c r="A22" s="218" t="s">
        <v>26</v>
      </c>
      <c r="B22" s="219" t="s">
        <v>62</v>
      </c>
      <c r="C22" s="220"/>
      <c r="D22" s="220">
        <v>419432</v>
      </c>
      <c r="E22" s="220">
        <f t="shared" si="0"/>
        <v>419432</v>
      </c>
      <c r="F22" s="221">
        <f>'Revenue Offset'!G21</f>
        <v>0.58180416703013171</v>
      </c>
      <c r="H22" s="35">
        <f t="shared" si="1"/>
        <v>175404.71461421778</v>
      </c>
    </row>
    <row r="23" spans="1:8" ht="15" customHeight="1" x14ac:dyDescent="0.2">
      <c r="A23" s="218" t="s">
        <v>22</v>
      </c>
      <c r="B23" s="219" t="s">
        <v>23</v>
      </c>
      <c r="C23" s="220">
        <v>1123053</v>
      </c>
      <c r="D23" s="220">
        <v>1080470</v>
      </c>
      <c r="E23" s="220">
        <f t="shared" si="0"/>
        <v>2203523</v>
      </c>
      <c r="F23" s="221">
        <f>'Revenue Offset'!G22</f>
        <v>0.64793537964652148</v>
      </c>
      <c r="H23" s="35">
        <f t="shared" si="1"/>
        <v>775782.48843515804</v>
      </c>
    </row>
    <row r="24" spans="1:8" ht="15" customHeight="1" x14ac:dyDescent="0.2">
      <c r="A24" s="218" t="s">
        <v>24</v>
      </c>
      <c r="B24" s="219" t="s">
        <v>137</v>
      </c>
      <c r="C24" s="220"/>
      <c r="D24" s="220">
        <v>347835</v>
      </c>
      <c r="E24" s="220">
        <f t="shared" si="0"/>
        <v>347835</v>
      </c>
      <c r="F24" s="221">
        <f>'Revenue Offset'!G23</f>
        <v>0.4518890697250138</v>
      </c>
      <c r="H24" s="35">
        <f t="shared" si="1"/>
        <v>190652.16543219984</v>
      </c>
    </row>
    <row r="25" spans="1:8" ht="15" customHeight="1" x14ac:dyDescent="0.2">
      <c r="A25" s="218" t="s">
        <v>27</v>
      </c>
      <c r="B25" s="219" t="s">
        <v>132</v>
      </c>
      <c r="C25" s="220">
        <v>4652</v>
      </c>
      <c r="D25" s="220"/>
      <c r="E25" s="220">
        <f t="shared" si="0"/>
        <v>4652</v>
      </c>
      <c r="F25" s="221">
        <f>'Revenue Offset'!G24</f>
        <v>0.5727525915925874</v>
      </c>
      <c r="H25" s="35">
        <f t="shared" si="1"/>
        <v>1987.5549439112833</v>
      </c>
    </row>
    <row r="26" spans="1:8" ht="15" customHeight="1" x14ac:dyDescent="0.2">
      <c r="A26" s="218" t="s">
        <v>29</v>
      </c>
      <c r="B26" s="219" t="s">
        <v>133</v>
      </c>
      <c r="C26" s="220">
        <v>77</v>
      </c>
      <c r="D26" s="220"/>
      <c r="E26" s="220">
        <f t="shared" si="0"/>
        <v>77</v>
      </c>
      <c r="F26" s="221">
        <f>'Revenue Offset'!G25</f>
        <v>0.52782979805302599</v>
      </c>
      <c r="H26" s="35">
        <f t="shared" si="1"/>
        <v>36.357105549917001</v>
      </c>
    </row>
    <row r="27" spans="1:8" ht="15" customHeight="1" x14ac:dyDescent="0.2">
      <c r="A27" s="218" t="s">
        <v>118</v>
      </c>
      <c r="B27" s="219" t="s">
        <v>63</v>
      </c>
      <c r="C27" s="224">
        <f>16659+3208</f>
        <v>19867</v>
      </c>
      <c r="D27" s="224">
        <f>21993+332443+46988+107201</f>
        <v>508625</v>
      </c>
      <c r="E27" s="220">
        <f t="shared" si="0"/>
        <v>528492</v>
      </c>
      <c r="F27" s="221">
        <f>'Revenue Offset'!G26</f>
        <v>0.46673244262792274</v>
      </c>
      <c r="H27" s="35">
        <f t="shared" si="1"/>
        <v>281827.63793068391</v>
      </c>
    </row>
    <row r="28" spans="1:8" ht="15" customHeight="1" x14ac:dyDescent="0.2">
      <c r="A28" s="218" t="s">
        <v>31</v>
      </c>
      <c r="B28" s="219" t="s">
        <v>134</v>
      </c>
      <c r="C28" s="220">
        <v>142866</v>
      </c>
      <c r="D28" s="220">
        <v>157462</v>
      </c>
      <c r="E28" s="220">
        <f t="shared" si="0"/>
        <v>300328</v>
      </c>
      <c r="F28" s="221">
        <f>'Revenue Offset'!G27</f>
        <v>0.45134056461173905</v>
      </c>
      <c r="H28" s="35">
        <f t="shared" si="1"/>
        <v>164777.79091128564</v>
      </c>
    </row>
    <row r="29" spans="1:8" ht="15" customHeight="1" x14ac:dyDescent="0.2">
      <c r="A29" s="218" t="s">
        <v>33</v>
      </c>
      <c r="B29" s="219" t="s">
        <v>130</v>
      </c>
      <c r="C29" s="220"/>
      <c r="D29" s="220"/>
      <c r="E29" s="220">
        <f t="shared" si="0"/>
        <v>0</v>
      </c>
      <c r="F29" s="221">
        <f>'Revenue Offset'!G28</f>
        <v>0.38473777608673843</v>
      </c>
      <c r="H29" s="35">
        <f t="shared" si="1"/>
        <v>0</v>
      </c>
    </row>
    <row r="30" spans="1:8" ht="15" customHeight="1" x14ac:dyDescent="0.2">
      <c r="A30" s="218" t="s">
        <v>35</v>
      </c>
      <c r="B30" s="219" t="s">
        <v>36</v>
      </c>
      <c r="C30" s="220">
        <v>88177</v>
      </c>
      <c r="D30" s="220"/>
      <c r="E30" s="220">
        <f t="shared" si="0"/>
        <v>88177</v>
      </c>
      <c r="F30" s="221">
        <f>'Revenue Offset'!G29</f>
        <v>0.45901342234845049</v>
      </c>
      <c r="H30" s="35">
        <f t="shared" si="1"/>
        <v>47702.573457580678</v>
      </c>
    </row>
    <row r="31" spans="1:8" ht="15" customHeight="1" x14ac:dyDescent="0.2">
      <c r="A31" s="218" t="s">
        <v>37</v>
      </c>
      <c r="B31" s="219" t="s">
        <v>131</v>
      </c>
      <c r="C31" s="220"/>
      <c r="D31" s="220"/>
      <c r="E31" s="220">
        <f t="shared" si="0"/>
        <v>0</v>
      </c>
      <c r="F31" s="221">
        <f>'Revenue Offset'!G30</f>
        <v>0.4677055420678205</v>
      </c>
      <c r="H31" s="35">
        <f t="shared" si="1"/>
        <v>0</v>
      </c>
    </row>
    <row r="32" spans="1:8" ht="15" customHeight="1" x14ac:dyDescent="0.2">
      <c r="A32" s="218" t="s">
        <v>39</v>
      </c>
      <c r="B32" s="219" t="s">
        <v>135</v>
      </c>
      <c r="C32" s="220"/>
      <c r="D32" s="220">
        <v>198754</v>
      </c>
      <c r="E32" s="220">
        <f t="shared" si="0"/>
        <v>198754</v>
      </c>
      <c r="F32" s="221">
        <f>'Revenue Offset'!G31</f>
        <v>0.51278105124676165</v>
      </c>
      <c r="H32" s="35">
        <f t="shared" si="1"/>
        <v>96836.71494050113</v>
      </c>
    </row>
    <row r="33" spans="1:9" ht="15" customHeight="1" x14ac:dyDescent="0.2">
      <c r="A33" s="218" t="s">
        <v>46</v>
      </c>
      <c r="B33" s="219" t="s">
        <v>70</v>
      </c>
      <c r="C33" s="220"/>
      <c r="D33" s="220"/>
      <c r="E33" s="220">
        <f t="shared" si="0"/>
        <v>0</v>
      </c>
      <c r="F33" s="221">
        <f>'Revenue Offset'!G32</f>
        <v>0.53867318241761786</v>
      </c>
      <c r="H33" s="35">
        <f t="shared" si="1"/>
        <v>0</v>
      </c>
    </row>
    <row r="34" spans="1:9" ht="15" customHeight="1" x14ac:dyDescent="0.2">
      <c r="A34" s="218" t="s">
        <v>41</v>
      </c>
      <c r="B34" s="219" t="s">
        <v>117</v>
      </c>
      <c r="C34" s="220"/>
      <c r="D34" s="220">
        <v>67628</v>
      </c>
      <c r="E34" s="220">
        <f t="shared" si="0"/>
        <v>67628</v>
      </c>
      <c r="F34" s="221">
        <f>'Revenue Offset'!G33</f>
        <v>0.44840568936189645</v>
      </c>
      <c r="H34" s="35">
        <f t="shared" si="1"/>
        <v>37303.220039833672</v>
      </c>
    </row>
    <row r="35" spans="1:9" ht="15" customHeight="1" x14ac:dyDescent="0.2">
      <c r="A35" s="218" t="s">
        <v>42</v>
      </c>
      <c r="B35" s="219" t="s">
        <v>69</v>
      </c>
      <c r="C35" s="220">
        <v>22906</v>
      </c>
      <c r="D35" s="220">
        <v>225315</v>
      </c>
      <c r="E35" s="220">
        <f t="shared" si="0"/>
        <v>248221</v>
      </c>
      <c r="F35" s="221">
        <f>'Revenue Offset'!G34</f>
        <v>0.53002968146986207</v>
      </c>
      <c r="H35" s="35">
        <f t="shared" si="1"/>
        <v>116656.50243586936</v>
      </c>
    </row>
    <row r="36" spans="1:9" ht="15" customHeight="1" x14ac:dyDescent="0.2">
      <c r="A36" s="218" t="s">
        <v>43</v>
      </c>
      <c r="B36" s="219" t="s">
        <v>44</v>
      </c>
      <c r="C36" s="220">
        <v>855062</v>
      </c>
      <c r="D36" s="220">
        <v>832116</v>
      </c>
      <c r="E36" s="220">
        <f t="shared" si="0"/>
        <v>1687178</v>
      </c>
      <c r="F36" s="221">
        <f>'Revenue Offset'!G35</f>
        <v>0.58053903257431694</v>
      </c>
      <c r="H36" s="35">
        <f t="shared" si="1"/>
        <v>707705.31609932915</v>
      </c>
    </row>
    <row r="37" spans="1:9" ht="15" customHeight="1" x14ac:dyDescent="0.2">
      <c r="A37" s="218" t="s">
        <v>45</v>
      </c>
      <c r="B37" s="219" t="s">
        <v>136</v>
      </c>
      <c r="C37" s="220"/>
      <c r="D37" s="220">
        <v>8693</v>
      </c>
      <c r="E37" s="220">
        <f t="shared" si="0"/>
        <v>8693</v>
      </c>
      <c r="F37" s="221">
        <f>'Revenue Offset'!G36</f>
        <v>0.52138000733701717</v>
      </c>
      <c r="H37" s="35">
        <f t="shared" si="1"/>
        <v>4160.64359621931</v>
      </c>
    </row>
    <row r="38" spans="1:9" ht="15" customHeight="1" x14ac:dyDescent="0.2">
      <c r="A38" s="218" t="s">
        <v>47</v>
      </c>
      <c r="B38" s="219" t="s">
        <v>48</v>
      </c>
      <c r="C38" s="220">
        <v>63479</v>
      </c>
      <c r="D38" s="220">
        <v>194718</v>
      </c>
      <c r="E38" s="220">
        <f t="shared" si="0"/>
        <v>258197</v>
      </c>
      <c r="F38" s="221">
        <f>'Revenue Offset'!G37</f>
        <v>0.6051392142122235</v>
      </c>
      <c r="H38" s="35">
        <f t="shared" si="1"/>
        <v>101951.87030804653</v>
      </c>
    </row>
    <row r="39" spans="1:9" ht="15" customHeight="1" x14ac:dyDescent="0.2">
      <c r="D39" s="11"/>
      <c r="F39" s="11"/>
      <c r="G39" s="15"/>
      <c r="I39" s="6"/>
    </row>
    <row r="40" spans="1:9" ht="15" customHeight="1" x14ac:dyDescent="0.2">
      <c r="B40" t="s">
        <v>49</v>
      </c>
      <c r="C40" s="226">
        <f>SUM(C9:C39)</f>
        <v>2379130</v>
      </c>
      <c r="D40" s="226">
        <f>SUM(D9:D39)</f>
        <v>5223288</v>
      </c>
      <c r="E40" s="226">
        <f>SUM(E9:E39)</f>
        <v>7602418</v>
      </c>
      <c r="F40" s="227">
        <f>'[2]Revenue Offset (2)'!G40</f>
        <v>0.58953142624222721</v>
      </c>
      <c r="H40" s="226">
        <f>SUM(H9:H39)</f>
        <v>3336460.4476985168</v>
      </c>
    </row>
    <row r="42" spans="1:9" ht="15" customHeight="1" x14ac:dyDescent="0.2">
      <c r="A42" s="16" t="s">
        <v>299</v>
      </c>
    </row>
    <row r="43" spans="1:9" ht="15" customHeight="1" x14ac:dyDescent="0.2">
      <c r="A43" s="16" t="s">
        <v>300</v>
      </c>
    </row>
    <row r="44" spans="1:9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  <pageSetUpPr fitToPage="1"/>
  </sheetPr>
  <dimension ref="A1:L47"/>
  <sheetViews>
    <sheetView zoomScale="90" zoomScaleNormal="90" workbookViewId="0">
      <selection activeCell="L8" sqref="L8"/>
    </sheetView>
  </sheetViews>
  <sheetFormatPr defaultRowHeight="12.75" x14ac:dyDescent="0.2"/>
  <cols>
    <col min="1" max="1" width="6" style="239" customWidth="1"/>
    <col min="2" max="2" width="31.85546875" style="229" customWidth="1"/>
    <col min="3" max="3" width="14.7109375" style="230" customWidth="1"/>
    <col min="4" max="4" width="11.5703125" style="231" bestFit="1" customWidth="1"/>
    <col min="5" max="5" width="14.7109375" style="231" customWidth="1"/>
    <col min="6" max="6" width="15.140625" style="229" customWidth="1"/>
    <col min="7" max="7" width="17.85546875" style="232" customWidth="1"/>
    <col min="8" max="8" width="2.42578125" style="232" customWidth="1"/>
    <col min="9" max="9" width="10.7109375" style="229" hidden="1" customWidth="1"/>
    <col min="10" max="10" width="9.140625" style="229" hidden="1" customWidth="1"/>
    <col min="11" max="11" width="4.5703125" style="229" customWidth="1"/>
    <col min="12" max="16384" width="9.140625" style="229"/>
  </cols>
  <sheetData>
    <row r="1" spans="1:12" ht="15.75" x14ac:dyDescent="0.25">
      <c r="A1" s="228" t="s">
        <v>254</v>
      </c>
      <c r="G1" s="466" t="s">
        <v>293</v>
      </c>
    </row>
    <row r="2" spans="1:12" x14ac:dyDescent="0.2">
      <c r="A2" s="233" t="s">
        <v>93</v>
      </c>
    </row>
    <row r="3" spans="1:12" x14ac:dyDescent="0.2">
      <c r="A3" s="233" t="s">
        <v>296</v>
      </c>
    </row>
    <row r="4" spans="1:12" s="235" customFormat="1" ht="12.75" customHeight="1" x14ac:dyDescent="0.2">
      <c r="A4" s="234" t="s">
        <v>158</v>
      </c>
      <c r="C4" s="236"/>
      <c r="D4" s="237"/>
      <c r="E4" s="237" t="s">
        <v>94</v>
      </c>
      <c r="G4" s="238" t="s">
        <v>159</v>
      </c>
      <c r="H4" s="238"/>
    </row>
    <row r="5" spans="1:12" x14ac:dyDescent="0.2">
      <c r="C5" s="236" t="s">
        <v>79</v>
      </c>
      <c r="D5" s="237" t="s">
        <v>74</v>
      </c>
      <c r="E5" s="237" t="s">
        <v>160</v>
      </c>
      <c r="F5" s="235" t="s">
        <v>76</v>
      </c>
      <c r="G5" s="238" t="s">
        <v>77</v>
      </c>
      <c r="H5" s="238"/>
    </row>
    <row r="6" spans="1:12" s="246" customFormat="1" ht="47.25" x14ac:dyDescent="0.25">
      <c r="A6" s="240" t="s">
        <v>0</v>
      </c>
      <c r="B6" s="240" t="s">
        <v>1</v>
      </c>
      <c r="C6" s="241" t="s">
        <v>297</v>
      </c>
      <c r="D6" s="242" t="s">
        <v>95</v>
      </c>
      <c r="E6" s="242" t="s">
        <v>96</v>
      </c>
      <c r="F6" s="243" t="s">
        <v>298</v>
      </c>
      <c r="G6" s="245" t="s">
        <v>119</v>
      </c>
      <c r="H6" s="244"/>
      <c r="I6" s="245" t="s">
        <v>294</v>
      </c>
    </row>
    <row r="7" spans="1:12" s="246" customFormat="1" x14ac:dyDescent="0.2">
      <c r="A7" s="122"/>
      <c r="B7" s="122"/>
      <c r="C7" s="206"/>
      <c r="D7" s="248"/>
      <c r="E7" s="248"/>
      <c r="G7" s="249"/>
      <c r="H7" s="249"/>
    </row>
    <row r="8" spans="1:12" x14ac:dyDescent="0.2">
      <c r="A8" s="250" t="s">
        <v>2</v>
      </c>
      <c r="B8" s="251" t="s">
        <v>128</v>
      </c>
      <c r="C8" s="252">
        <v>22607769.52</v>
      </c>
      <c r="D8" s="253">
        <v>745958.46</v>
      </c>
      <c r="E8" s="254">
        <f t="shared" ref="E8:E37" si="0">C8-D8</f>
        <v>21861811.059999999</v>
      </c>
      <c r="F8" s="255">
        <v>11887540.539999999</v>
      </c>
      <c r="G8" s="407">
        <f>(E8-F8)/E8</f>
        <v>0.45624173096297904</v>
      </c>
      <c r="H8" s="256"/>
      <c r="I8" s="257">
        <v>0.48639221315791692</v>
      </c>
      <c r="J8" s="296">
        <f>G8-I8</f>
        <v>-3.0150482194937878E-2</v>
      </c>
      <c r="L8" s="232"/>
    </row>
    <row r="9" spans="1:12" x14ac:dyDescent="0.2">
      <c r="A9" s="250" t="s">
        <v>4</v>
      </c>
      <c r="B9" s="251" t="s">
        <v>124</v>
      </c>
      <c r="C9" s="252">
        <v>63686531.539999999</v>
      </c>
      <c r="D9" s="253">
        <v>544161.29</v>
      </c>
      <c r="E9" s="254">
        <f t="shared" si="0"/>
        <v>63142370.25</v>
      </c>
      <c r="F9" s="255">
        <v>31044215.460000001</v>
      </c>
      <c r="G9" s="407">
        <f t="shared" ref="G9:G37" si="1">(E9-F9)/E9</f>
        <v>0.50834573778135927</v>
      </c>
      <c r="H9" s="256"/>
      <c r="I9" s="257">
        <v>0.54453309777645564</v>
      </c>
      <c r="J9" s="296">
        <f t="shared" ref="J9:J37" si="2">G9-I9</f>
        <v>-3.6187359995096369E-2</v>
      </c>
    </row>
    <row r="10" spans="1:12" x14ac:dyDescent="0.2">
      <c r="A10" s="250" t="s">
        <v>5</v>
      </c>
      <c r="B10" s="251" t="s">
        <v>113</v>
      </c>
      <c r="C10" s="258">
        <v>68838319.590000004</v>
      </c>
      <c r="D10" s="253">
        <v>1913214.57</v>
      </c>
      <c r="E10" s="254">
        <f t="shared" si="0"/>
        <v>66925105.020000003</v>
      </c>
      <c r="F10" s="255">
        <v>26108755.149999999</v>
      </c>
      <c r="G10" s="407">
        <f t="shared" si="1"/>
        <v>0.60988099843552557</v>
      </c>
      <c r="H10" s="256"/>
      <c r="I10" s="257">
        <v>0.62453757853391123</v>
      </c>
      <c r="J10" s="296">
        <f t="shared" si="2"/>
        <v>-1.4656580098385663E-2</v>
      </c>
    </row>
    <row r="11" spans="1:12" x14ac:dyDescent="0.2">
      <c r="A11" s="250" t="s">
        <v>6</v>
      </c>
      <c r="B11" s="251" t="s">
        <v>7</v>
      </c>
      <c r="C11" s="252">
        <v>28246177.309999999</v>
      </c>
      <c r="D11" s="253">
        <v>677756.99</v>
      </c>
      <c r="E11" s="254">
        <f t="shared" si="0"/>
        <v>27568420.32</v>
      </c>
      <c r="F11" s="255">
        <v>15854581.82</v>
      </c>
      <c r="G11" s="407">
        <f t="shared" si="1"/>
        <v>0.42490060598437657</v>
      </c>
      <c r="H11" s="256"/>
      <c r="I11" s="257">
        <v>0.45051477858043915</v>
      </c>
      <c r="J11" s="296">
        <f t="shared" si="2"/>
        <v>-2.5614172596062579E-2</v>
      </c>
    </row>
    <row r="12" spans="1:12" x14ac:dyDescent="0.2">
      <c r="A12" s="250" t="s">
        <v>8</v>
      </c>
      <c r="B12" s="251" t="s">
        <v>9</v>
      </c>
      <c r="C12" s="252">
        <v>58639647.630000003</v>
      </c>
      <c r="D12" s="253">
        <v>459090.42</v>
      </c>
      <c r="E12" s="254">
        <f t="shared" si="0"/>
        <v>58180557.210000001</v>
      </c>
      <c r="F12" s="255">
        <v>27934488.5</v>
      </c>
      <c r="G12" s="407">
        <f t="shared" si="1"/>
        <v>0.51986557297531943</v>
      </c>
      <c r="H12" s="256"/>
      <c r="I12" s="257">
        <v>0.55140263148750424</v>
      </c>
      <c r="J12" s="296">
        <f t="shared" si="2"/>
        <v>-3.1537058512184801E-2</v>
      </c>
    </row>
    <row r="13" spans="1:12" x14ac:dyDescent="0.2">
      <c r="A13" s="250" t="s">
        <v>10</v>
      </c>
      <c r="B13" s="3" t="s">
        <v>146</v>
      </c>
      <c r="C13" s="252">
        <v>56617414.969999999</v>
      </c>
      <c r="D13" s="253">
        <v>1017449.22</v>
      </c>
      <c r="E13" s="254">
        <f t="shared" si="0"/>
        <v>55599965.75</v>
      </c>
      <c r="F13" s="255">
        <v>28545867.940000001</v>
      </c>
      <c r="G13" s="407">
        <f t="shared" si="1"/>
        <v>0.48658479272534444</v>
      </c>
      <c r="H13" s="256"/>
      <c r="I13" s="257">
        <v>0.52418938559296724</v>
      </c>
      <c r="J13" s="296">
        <f t="shared" si="2"/>
        <v>-3.7604592867622799E-2</v>
      </c>
    </row>
    <row r="14" spans="1:12" x14ac:dyDescent="0.2">
      <c r="A14" s="250" t="s">
        <v>12</v>
      </c>
      <c r="B14" s="251" t="s">
        <v>13</v>
      </c>
      <c r="C14" s="252">
        <v>9968539.3300000001</v>
      </c>
      <c r="D14" s="253">
        <v>9345.25</v>
      </c>
      <c r="E14" s="254">
        <f t="shared" si="0"/>
        <v>9959194.0800000001</v>
      </c>
      <c r="F14" s="255">
        <v>6104809.3099999996</v>
      </c>
      <c r="G14" s="407">
        <f t="shared" si="1"/>
        <v>0.38701773848753035</v>
      </c>
      <c r="H14" s="256"/>
      <c r="I14" s="257">
        <v>0.44980615125135653</v>
      </c>
      <c r="J14" s="296">
        <f t="shared" si="2"/>
        <v>-6.2788412763826185E-2</v>
      </c>
    </row>
    <row r="15" spans="1:12" x14ac:dyDescent="0.2">
      <c r="A15" s="250" t="s">
        <v>14</v>
      </c>
      <c r="B15" s="251" t="s">
        <v>139</v>
      </c>
      <c r="C15" s="252">
        <v>40008215.390000001</v>
      </c>
      <c r="D15" s="253">
        <v>999477.04</v>
      </c>
      <c r="E15" s="254">
        <f t="shared" si="0"/>
        <v>39008738.350000001</v>
      </c>
      <c r="F15" s="255">
        <v>22096573.550000001</v>
      </c>
      <c r="G15" s="407">
        <f t="shared" si="1"/>
        <v>0.43354811038127306</v>
      </c>
      <c r="H15" s="256"/>
      <c r="I15" s="257">
        <v>0.46982173592688686</v>
      </c>
      <c r="J15" s="296">
        <f t="shared" si="2"/>
        <v>-3.6273625545613808E-2</v>
      </c>
    </row>
    <row r="16" spans="1:12" x14ac:dyDescent="0.2">
      <c r="A16" s="250" t="s">
        <v>16</v>
      </c>
      <c r="B16" s="251" t="s">
        <v>17</v>
      </c>
      <c r="C16" s="252">
        <v>34447414.729999997</v>
      </c>
      <c r="D16" s="253">
        <v>2265973.08</v>
      </c>
      <c r="E16" s="254">
        <f t="shared" si="0"/>
        <v>32181441.649999999</v>
      </c>
      <c r="F16" s="255">
        <v>16911391.390000001</v>
      </c>
      <c r="G16" s="407">
        <f t="shared" si="1"/>
        <v>0.47449863887623561</v>
      </c>
      <c r="H16" s="256"/>
      <c r="I16" s="257">
        <v>0.51416422428157793</v>
      </c>
      <c r="J16" s="296">
        <f t="shared" si="2"/>
        <v>-3.9665585405342318E-2</v>
      </c>
    </row>
    <row r="17" spans="1:10" x14ac:dyDescent="0.2">
      <c r="A17" s="250" t="s">
        <v>18</v>
      </c>
      <c r="B17" s="251" t="s">
        <v>140</v>
      </c>
      <c r="C17" s="252">
        <v>82220686.099999994</v>
      </c>
      <c r="D17" s="253">
        <v>336492.01</v>
      </c>
      <c r="E17" s="254">
        <f t="shared" si="0"/>
        <v>81884194.089999989</v>
      </c>
      <c r="F17" s="255">
        <v>32172735.460000001</v>
      </c>
      <c r="G17" s="407">
        <f t="shared" si="1"/>
        <v>0.60709468026712787</v>
      </c>
      <c r="H17" s="256"/>
      <c r="I17" s="257">
        <v>0.62836591974304412</v>
      </c>
      <c r="J17" s="296">
        <f t="shared" si="2"/>
        <v>-2.1271239475916248E-2</v>
      </c>
    </row>
    <row r="18" spans="1:10" x14ac:dyDescent="0.2">
      <c r="A18" s="250" t="s">
        <v>19</v>
      </c>
      <c r="B18" s="251" t="s">
        <v>129</v>
      </c>
      <c r="C18" s="252">
        <v>51255206.479999997</v>
      </c>
      <c r="D18" s="253">
        <v>62136.53</v>
      </c>
      <c r="E18" s="254">
        <f t="shared" si="0"/>
        <v>51193069.949999996</v>
      </c>
      <c r="F18" s="255">
        <v>26603749.120000001</v>
      </c>
      <c r="G18" s="407">
        <f t="shared" si="1"/>
        <v>0.48032518569439686</v>
      </c>
      <c r="H18" s="256"/>
      <c r="I18" s="257">
        <v>0.53241164777845162</v>
      </c>
      <c r="J18" s="296">
        <f t="shared" si="2"/>
        <v>-5.2086462084054763E-2</v>
      </c>
    </row>
    <row r="19" spans="1:10" x14ac:dyDescent="0.2">
      <c r="A19" s="250" t="s">
        <v>21</v>
      </c>
      <c r="B19" s="259" t="s">
        <v>177</v>
      </c>
      <c r="C19" s="252">
        <v>16050665.050000001</v>
      </c>
      <c r="D19" s="253">
        <v>305235.53999999998</v>
      </c>
      <c r="E19" s="254">
        <f t="shared" si="0"/>
        <v>15745429.510000002</v>
      </c>
      <c r="F19" s="255">
        <v>9233974.8599999994</v>
      </c>
      <c r="G19" s="407">
        <f>(E19-F19)/E19</f>
        <v>0.41354569882419179</v>
      </c>
      <c r="H19" s="256"/>
      <c r="I19" s="257">
        <v>0.4520282118181288</v>
      </c>
      <c r="J19" s="296">
        <f t="shared" si="2"/>
        <v>-3.8482512993937013E-2</v>
      </c>
    </row>
    <row r="20" spans="1:10" x14ac:dyDescent="0.2">
      <c r="A20" s="260" t="s">
        <v>109</v>
      </c>
      <c r="B20" s="251" t="s">
        <v>141</v>
      </c>
      <c r="C20" s="252">
        <v>45488784.960000001</v>
      </c>
      <c r="D20" s="253">
        <v>672911.71</v>
      </c>
      <c r="E20" s="254">
        <f>C20-D20</f>
        <v>44815873.25</v>
      </c>
      <c r="F20" s="255">
        <v>23369781.41</v>
      </c>
      <c r="G20" s="407">
        <f t="shared" si="1"/>
        <v>0.47853785466514365</v>
      </c>
      <c r="H20" s="256"/>
      <c r="I20" s="257">
        <v>0.50552887215666698</v>
      </c>
      <c r="J20" s="296">
        <f t="shared" si="2"/>
        <v>-2.6991017491523328E-2</v>
      </c>
    </row>
    <row r="21" spans="1:10" x14ac:dyDescent="0.2">
      <c r="A21" s="250" t="s">
        <v>26</v>
      </c>
      <c r="B21" s="251" t="s">
        <v>62</v>
      </c>
      <c r="C21" s="252">
        <v>75576182.680000007</v>
      </c>
      <c r="D21" s="253">
        <v>133339.68</v>
      </c>
      <c r="E21" s="254">
        <f t="shared" si="0"/>
        <v>75442843</v>
      </c>
      <c r="F21" s="255">
        <v>31549882.57</v>
      </c>
      <c r="G21" s="407">
        <f t="shared" si="1"/>
        <v>0.58180416703013171</v>
      </c>
      <c r="H21" s="256"/>
      <c r="I21" s="257">
        <v>0.57582615107919288</v>
      </c>
      <c r="J21" s="296">
        <f t="shared" si="2"/>
        <v>5.9780159509388309E-3</v>
      </c>
    </row>
    <row r="22" spans="1:10" x14ac:dyDescent="0.2">
      <c r="A22" s="250" t="s">
        <v>22</v>
      </c>
      <c r="B22" s="251" t="s">
        <v>23</v>
      </c>
      <c r="C22" s="252">
        <v>184304545.33000001</v>
      </c>
      <c r="D22" s="253">
        <v>5419988.7199999997</v>
      </c>
      <c r="E22" s="254">
        <f t="shared" si="0"/>
        <v>178884556.61000001</v>
      </c>
      <c r="F22" s="255">
        <v>62978923.509999998</v>
      </c>
      <c r="G22" s="407">
        <f t="shared" si="1"/>
        <v>0.64793537964652148</v>
      </c>
      <c r="H22" s="256"/>
      <c r="I22" s="257">
        <v>0.65067460123907328</v>
      </c>
      <c r="J22" s="296">
        <f t="shared" si="2"/>
        <v>-2.7392215925517993E-3</v>
      </c>
    </row>
    <row r="23" spans="1:10" x14ac:dyDescent="0.2">
      <c r="A23" s="250" t="s">
        <v>24</v>
      </c>
      <c r="B23" s="251" t="s">
        <v>137</v>
      </c>
      <c r="C23" s="252">
        <v>24378407.649999999</v>
      </c>
      <c r="D23" s="253">
        <v>353027.38</v>
      </c>
      <c r="E23" s="254">
        <f t="shared" si="0"/>
        <v>24025380.27</v>
      </c>
      <c r="F23" s="255">
        <v>13168573.529999999</v>
      </c>
      <c r="G23" s="407">
        <f t="shared" si="1"/>
        <v>0.4518890697250138</v>
      </c>
      <c r="H23" s="256"/>
      <c r="I23" s="257">
        <v>0.46447839587742934</v>
      </c>
      <c r="J23" s="296">
        <f t="shared" si="2"/>
        <v>-1.2589326152415536E-2</v>
      </c>
    </row>
    <row r="24" spans="1:10" x14ac:dyDescent="0.2">
      <c r="A24" s="250" t="s">
        <v>27</v>
      </c>
      <c r="B24" s="251" t="s">
        <v>132</v>
      </c>
      <c r="C24" s="252">
        <v>63968073.649999999</v>
      </c>
      <c r="D24" s="253">
        <v>208049.87</v>
      </c>
      <c r="E24" s="254">
        <f t="shared" si="0"/>
        <v>63760023.780000001</v>
      </c>
      <c r="F24" s="255">
        <v>27241304.920000002</v>
      </c>
      <c r="G24" s="407">
        <f t="shared" si="1"/>
        <v>0.5727525915925874</v>
      </c>
      <c r="H24" s="256"/>
      <c r="I24" s="257">
        <v>0.60509441794710717</v>
      </c>
      <c r="J24" s="296">
        <f t="shared" si="2"/>
        <v>-3.2341826354519765E-2</v>
      </c>
    </row>
    <row r="25" spans="1:10" x14ac:dyDescent="0.2">
      <c r="A25" s="250" t="s">
        <v>29</v>
      </c>
      <c r="B25" s="251" t="s">
        <v>133</v>
      </c>
      <c r="C25" s="252">
        <v>42500122.829999998</v>
      </c>
      <c r="D25" s="253">
        <v>327442.39</v>
      </c>
      <c r="E25" s="254">
        <f t="shared" si="0"/>
        <v>42172680.439999998</v>
      </c>
      <c r="F25" s="255">
        <v>19912683.039999999</v>
      </c>
      <c r="G25" s="407">
        <f t="shared" si="1"/>
        <v>0.52782979805302599</v>
      </c>
      <c r="H25" s="256"/>
      <c r="I25" s="257">
        <v>0.57956459714040864</v>
      </c>
      <c r="J25" s="296">
        <f t="shared" si="2"/>
        <v>-5.1734799087382655E-2</v>
      </c>
    </row>
    <row r="26" spans="1:10" x14ac:dyDescent="0.2">
      <c r="A26" s="260" t="s">
        <v>118</v>
      </c>
      <c r="B26" s="251" t="s">
        <v>63</v>
      </c>
      <c r="C26" s="258">
        <v>42764999.909999996</v>
      </c>
      <c r="D26" s="253">
        <v>591446.73</v>
      </c>
      <c r="E26" s="254">
        <f t="shared" si="0"/>
        <v>42173553.18</v>
      </c>
      <c r="F26" s="255">
        <v>22489787.690000001</v>
      </c>
      <c r="G26" s="407">
        <f t="shared" si="1"/>
        <v>0.46673244262792274</v>
      </c>
      <c r="H26" s="256"/>
      <c r="I26" s="257">
        <v>0.465784930494264</v>
      </c>
      <c r="J26" s="296">
        <f t="shared" si="2"/>
        <v>9.4751213365873443E-4</v>
      </c>
    </row>
    <row r="27" spans="1:10" x14ac:dyDescent="0.2">
      <c r="A27" s="261" t="s">
        <v>110</v>
      </c>
      <c r="B27" s="251" t="s">
        <v>134</v>
      </c>
      <c r="C27" s="252">
        <v>26079387.23</v>
      </c>
      <c r="D27" s="253">
        <v>711054.96</v>
      </c>
      <c r="E27" s="254">
        <f t="shared" si="0"/>
        <v>25368332.27</v>
      </c>
      <c r="F27" s="255">
        <v>13918574.859999999</v>
      </c>
      <c r="G27" s="407">
        <f t="shared" si="1"/>
        <v>0.45134056461173905</v>
      </c>
      <c r="H27" s="256"/>
      <c r="I27" s="257">
        <v>0.47057692148940627</v>
      </c>
      <c r="J27" s="296">
        <f t="shared" si="2"/>
        <v>-1.9236356877667227E-2</v>
      </c>
    </row>
    <row r="28" spans="1:10" x14ac:dyDescent="0.2">
      <c r="A28" s="250" t="s">
        <v>33</v>
      </c>
      <c r="B28" s="251" t="s">
        <v>130</v>
      </c>
      <c r="C28" s="252">
        <v>7721972.4299999997</v>
      </c>
      <c r="D28" s="253">
        <v>97364.99</v>
      </c>
      <c r="E28" s="254">
        <f t="shared" si="0"/>
        <v>7624607.4399999995</v>
      </c>
      <c r="F28" s="255">
        <v>4691132.93</v>
      </c>
      <c r="G28" s="407">
        <f t="shared" si="1"/>
        <v>0.38473777608673843</v>
      </c>
      <c r="H28" s="256"/>
      <c r="I28" s="257">
        <v>0.41714297750943208</v>
      </c>
      <c r="J28" s="296">
        <f t="shared" si="2"/>
        <v>-3.2405201422693652E-2</v>
      </c>
    </row>
    <row r="29" spans="1:10" x14ac:dyDescent="0.2">
      <c r="A29" s="250" t="s">
        <v>35</v>
      </c>
      <c r="B29" s="251" t="s">
        <v>36</v>
      </c>
      <c r="C29" s="252">
        <v>31555047.879999999</v>
      </c>
      <c r="D29" s="253">
        <v>758202.49</v>
      </c>
      <c r="E29" s="254">
        <f t="shared" si="0"/>
        <v>30796845.390000001</v>
      </c>
      <c r="F29" s="255">
        <v>16660679.99</v>
      </c>
      <c r="G29" s="407">
        <f t="shared" si="1"/>
        <v>0.45901342234845049</v>
      </c>
      <c r="H29" s="256"/>
      <c r="I29" s="257">
        <v>0.47780491960709021</v>
      </c>
      <c r="J29" s="296">
        <f t="shared" si="2"/>
        <v>-1.8791497258639711E-2</v>
      </c>
    </row>
    <row r="30" spans="1:10" x14ac:dyDescent="0.2">
      <c r="A30" s="250" t="s">
        <v>37</v>
      </c>
      <c r="B30" s="251" t="s">
        <v>131</v>
      </c>
      <c r="C30" s="252">
        <v>24208943.440000001</v>
      </c>
      <c r="D30" s="253">
        <v>426167.72</v>
      </c>
      <c r="E30" s="254">
        <f t="shared" si="0"/>
        <v>23782775.720000003</v>
      </c>
      <c r="F30" s="255">
        <v>12659439.710000001</v>
      </c>
      <c r="G30" s="407">
        <f t="shared" si="1"/>
        <v>0.4677055420678205</v>
      </c>
      <c r="H30" s="256"/>
      <c r="I30" s="257">
        <v>0.480358996745472</v>
      </c>
      <c r="J30" s="296">
        <f t="shared" si="2"/>
        <v>-1.2653454677651499E-2</v>
      </c>
    </row>
    <row r="31" spans="1:10" x14ac:dyDescent="0.2">
      <c r="A31" s="250" t="s">
        <v>39</v>
      </c>
      <c r="B31" s="251" t="s">
        <v>135</v>
      </c>
      <c r="C31" s="252">
        <v>41016576.049999997</v>
      </c>
      <c r="D31" s="253">
        <v>1233603.18</v>
      </c>
      <c r="E31" s="254">
        <f t="shared" si="0"/>
        <v>39782972.869999997</v>
      </c>
      <c r="F31" s="255">
        <v>19383018.219999999</v>
      </c>
      <c r="G31" s="407">
        <f t="shared" si="1"/>
        <v>0.51278105124676165</v>
      </c>
      <c r="H31" s="256"/>
      <c r="I31" s="257">
        <v>0.56738066513450147</v>
      </c>
      <c r="J31" s="296">
        <f t="shared" si="2"/>
        <v>-5.4599613887739817E-2</v>
      </c>
    </row>
    <row r="32" spans="1:10" x14ac:dyDescent="0.2">
      <c r="A32" s="250" t="s">
        <v>46</v>
      </c>
      <c r="B32" s="251" t="s">
        <v>70</v>
      </c>
      <c r="C32" s="252">
        <v>44878554.340000004</v>
      </c>
      <c r="D32" s="253">
        <v>367366.68</v>
      </c>
      <c r="E32" s="254">
        <f t="shared" si="0"/>
        <v>44511187.660000004</v>
      </c>
      <c r="F32" s="255">
        <v>20534204.550000001</v>
      </c>
      <c r="G32" s="407">
        <f t="shared" si="1"/>
        <v>0.53867318241761786</v>
      </c>
      <c r="H32" s="256"/>
      <c r="I32" s="257">
        <v>0.57944309996775789</v>
      </c>
      <c r="J32" s="296">
        <f t="shared" si="2"/>
        <v>-4.0769917550140033E-2</v>
      </c>
    </row>
    <row r="33" spans="1:10" x14ac:dyDescent="0.2">
      <c r="A33" s="250" t="s">
        <v>41</v>
      </c>
      <c r="B33" s="251" t="s">
        <v>117</v>
      </c>
      <c r="C33" s="252">
        <v>26501917.199999999</v>
      </c>
      <c r="D33" s="253">
        <v>435218.21</v>
      </c>
      <c r="E33" s="254">
        <f>C33-D33</f>
        <v>26066698.989999998</v>
      </c>
      <c r="F33" s="255">
        <v>14378242.859999999</v>
      </c>
      <c r="G33" s="407">
        <f t="shared" si="1"/>
        <v>0.44840568936189645</v>
      </c>
      <c r="H33" s="256"/>
      <c r="I33" s="257">
        <v>0.47099075237597204</v>
      </c>
      <c r="J33" s="296">
        <f t="shared" si="2"/>
        <v>-2.258506301407559E-2</v>
      </c>
    </row>
    <row r="34" spans="1:10" x14ac:dyDescent="0.2">
      <c r="A34" s="250" t="s">
        <v>42</v>
      </c>
      <c r="B34" s="251" t="s">
        <v>69</v>
      </c>
      <c r="C34" s="252">
        <v>42357265.009999998</v>
      </c>
      <c r="D34" s="253">
        <v>654562.76</v>
      </c>
      <c r="E34" s="254">
        <f t="shared" si="0"/>
        <v>41702702.25</v>
      </c>
      <c r="F34" s="255">
        <v>19599032.260000002</v>
      </c>
      <c r="G34" s="407">
        <f t="shared" si="1"/>
        <v>0.53002968146986207</v>
      </c>
      <c r="H34" s="256"/>
      <c r="I34" s="257">
        <v>0.55838092240113668</v>
      </c>
      <c r="J34" s="296">
        <f t="shared" si="2"/>
        <v>-2.8351240931274613E-2</v>
      </c>
    </row>
    <row r="35" spans="1:10" x14ac:dyDescent="0.2">
      <c r="A35" s="250" t="s">
        <v>43</v>
      </c>
      <c r="B35" s="251" t="s">
        <v>44</v>
      </c>
      <c r="C35" s="252">
        <v>157768697.94999999</v>
      </c>
      <c r="D35" s="253">
        <v>1182231.3400000001</v>
      </c>
      <c r="E35" s="254">
        <f t="shared" si="0"/>
        <v>156586466.60999998</v>
      </c>
      <c r="F35" s="255">
        <v>65681910.770000003</v>
      </c>
      <c r="G35" s="407">
        <f t="shared" si="1"/>
        <v>0.58053903257431694</v>
      </c>
      <c r="H35" s="256"/>
      <c r="I35" s="257">
        <v>0.58900048828869056</v>
      </c>
      <c r="J35" s="296">
        <f t="shared" si="2"/>
        <v>-8.4614557143736224E-3</v>
      </c>
    </row>
    <row r="36" spans="1:10" x14ac:dyDescent="0.2">
      <c r="A36" s="250" t="s">
        <v>45</v>
      </c>
      <c r="B36" s="251" t="s">
        <v>136</v>
      </c>
      <c r="C36" s="252">
        <v>33845561.950000003</v>
      </c>
      <c r="D36" s="253">
        <v>302475.94</v>
      </c>
      <c r="E36" s="254">
        <f t="shared" si="0"/>
        <v>33543086.010000002</v>
      </c>
      <c r="F36" s="255">
        <v>16054391.58</v>
      </c>
      <c r="G36" s="407">
        <f t="shared" si="1"/>
        <v>0.52138000733701717</v>
      </c>
      <c r="H36" s="256"/>
      <c r="I36" s="257">
        <v>0.56041037842414987</v>
      </c>
      <c r="J36" s="296">
        <f t="shared" si="2"/>
        <v>-3.9030371087132698E-2</v>
      </c>
    </row>
    <row r="37" spans="1:10" x14ac:dyDescent="0.2">
      <c r="A37" s="250" t="s">
        <v>47</v>
      </c>
      <c r="B37" s="251" t="s">
        <v>48</v>
      </c>
      <c r="C37" s="252">
        <v>102112863.88</v>
      </c>
      <c r="D37" s="253">
        <v>1237273.8400000001</v>
      </c>
      <c r="E37" s="254">
        <f t="shared" si="0"/>
        <v>100875590.03999999</v>
      </c>
      <c r="F37" s="255">
        <v>39831814.75</v>
      </c>
      <c r="G37" s="407">
        <f t="shared" si="1"/>
        <v>0.6051392142122235</v>
      </c>
      <c r="H37" s="256"/>
      <c r="I37" s="257">
        <v>0.62676893077370865</v>
      </c>
      <c r="J37" s="296">
        <f t="shared" si="2"/>
        <v>-2.1629716561485157E-2</v>
      </c>
    </row>
    <row r="38" spans="1:10" x14ac:dyDescent="0.2">
      <c r="C38" s="262"/>
      <c r="D38" s="263"/>
      <c r="E38" s="263"/>
      <c r="F38" s="264"/>
      <c r="G38" s="265"/>
      <c r="H38" s="265"/>
    </row>
    <row r="39" spans="1:10" x14ac:dyDescent="0.2">
      <c r="B39" s="229" t="s">
        <v>49</v>
      </c>
      <c r="C39" s="262">
        <f>SUM(C8:C38)</f>
        <v>1549614492.0100002</v>
      </c>
      <c r="D39" s="263">
        <f>SUM(D8:D38)</f>
        <v>24448018.989999998</v>
      </c>
      <c r="E39" s="263">
        <f>SUM(E8:E38)</f>
        <v>1525166473.0199997</v>
      </c>
      <c r="F39" s="263">
        <f>SUM(F8:F38)</f>
        <v>698602062.25</v>
      </c>
      <c r="G39" s="256">
        <f>(E39-F39)/E39</f>
        <v>0.54195028896308617</v>
      </c>
      <c r="H39" s="265"/>
      <c r="I39" s="232">
        <v>0.58917622469614928</v>
      </c>
      <c r="J39" s="297">
        <f>AVERAGE(J8:J38)</f>
        <v>-2.8143421203654984E-2</v>
      </c>
    </row>
    <row r="40" spans="1:10" x14ac:dyDescent="0.2">
      <c r="A40" s="266" t="s">
        <v>125</v>
      </c>
      <c r="C40" s="262"/>
      <c r="D40" s="263"/>
      <c r="E40" s="263"/>
      <c r="F40" s="264"/>
      <c r="H40" s="265"/>
    </row>
    <row r="41" spans="1:10" x14ac:dyDescent="0.2">
      <c r="A41" s="267"/>
      <c r="C41" s="262"/>
      <c r="D41" s="263"/>
      <c r="E41" s="263"/>
      <c r="F41" s="264"/>
      <c r="H41" s="265"/>
    </row>
    <row r="42" spans="1:10" x14ac:dyDescent="0.2">
      <c r="A42" s="16" t="s">
        <v>299</v>
      </c>
      <c r="C42" s="262"/>
      <c r="D42" s="263"/>
      <c r="E42" s="263"/>
      <c r="F42" s="264"/>
      <c r="G42" s="265"/>
      <c r="H42" s="265"/>
    </row>
    <row r="43" spans="1:10" x14ac:dyDescent="0.2">
      <c r="A43" s="16" t="s">
        <v>300</v>
      </c>
      <c r="C43" s="262"/>
      <c r="D43" s="263"/>
      <c r="E43" s="263"/>
      <c r="F43" s="264"/>
      <c r="G43" s="265"/>
      <c r="H43" s="265"/>
    </row>
    <row r="44" spans="1:10" x14ac:dyDescent="0.2">
      <c r="A44" s="268"/>
      <c r="C44" s="262"/>
      <c r="D44" s="263"/>
      <c r="E44" s="263"/>
      <c r="F44" s="264"/>
      <c r="G44" s="265"/>
      <c r="H44" s="265"/>
    </row>
    <row r="45" spans="1:10" x14ac:dyDescent="0.2">
      <c r="C45" s="262"/>
      <c r="D45" s="262"/>
      <c r="E45" s="262"/>
      <c r="F45" s="264"/>
      <c r="G45" s="265"/>
      <c r="H45" s="265"/>
    </row>
    <row r="46" spans="1:10" x14ac:dyDescent="0.2">
      <c r="C46" s="262"/>
      <c r="D46" s="263"/>
      <c r="E46" s="263"/>
      <c r="F46" s="264"/>
      <c r="G46" s="265"/>
      <c r="H46" s="265"/>
    </row>
    <row r="47" spans="1:10" x14ac:dyDescent="0.2">
      <c r="C47" s="262"/>
      <c r="D47" s="263"/>
      <c r="E47" s="263"/>
      <c r="F47" s="264"/>
      <c r="G47" s="265"/>
      <c r="H47" s="265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399"/>
  </cols>
  <sheetData>
    <row r="2" spans="1:3" x14ac:dyDescent="0.2">
      <c r="A2" s="207" t="s">
        <v>257</v>
      </c>
    </row>
    <row r="4" spans="1:3" ht="38.25" x14ac:dyDescent="0.2">
      <c r="B4" s="401" t="s">
        <v>261</v>
      </c>
      <c r="C4" s="402" t="s">
        <v>262</v>
      </c>
    </row>
    <row r="5" spans="1:3" x14ac:dyDescent="0.2">
      <c r="A5" s="396" t="s">
        <v>214</v>
      </c>
      <c r="B5" s="11">
        <f>Summary!R42</f>
        <v>0</v>
      </c>
      <c r="C5" s="400">
        <f>Summary!S42</f>
        <v>0</v>
      </c>
    </row>
    <row r="6" spans="1:3" x14ac:dyDescent="0.2">
      <c r="A6" s="396" t="s">
        <v>207</v>
      </c>
      <c r="B6" s="11">
        <f>Summary!R43</f>
        <v>0</v>
      </c>
      <c r="C6" s="400">
        <f>Summary!S43</f>
        <v>0</v>
      </c>
    </row>
    <row r="7" spans="1:3" x14ac:dyDescent="0.2">
      <c r="A7" s="396"/>
    </row>
    <row r="8" spans="1:3" s="394" customFormat="1" x14ac:dyDescent="0.2">
      <c r="A8" s="395" t="s">
        <v>255</v>
      </c>
      <c r="B8" s="398">
        <f>Summary!R44</f>
        <v>0</v>
      </c>
      <c r="C8" s="400">
        <f>Summary!S44</f>
        <v>0</v>
      </c>
    </row>
    <row r="9" spans="1:3" x14ac:dyDescent="0.2">
      <c r="A9" s="396" t="s">
        <v>256</v>
      </c>
      <c r="B9" s="398">
        <f>Summary!R45</f>
        <v>0</v>
      </c>
      <c r="C9" s="400">
        <f>Summary!S45</f>
        <v>0</v>
      </c>
    </row>
    <row r="10" spans="1:3" x14ac:dyDescent="0.2">
      <c r="A10" s="396"/>
    </row>
    <row r="11" spans="1:3" x14ac:dyDescent="0.2">
      <c r="A11" s="397" t="s">
        <v>258</v>
      </c>
      <c r="B11" s="11">
        <f>Summary!R46</f>
        <v>0</v>
      </c>
      <c r="C11" s="400">
        <f>Summary!S46</f>
        <v>0</v>
      </c>
    </row>
    <row r="12" spans="1:3" x14ac:dyDescent="0.2">
      <c r="A12" s="397" t="s">
        <v>259</v>
      </c>
      <c r="B12" s="11">
        <f>Summary!R47</f>
        <v>0</v>
      </c>
      <c r="C12" s="400">
        <f>Summary!S47</f>
        <v>0</v>
      </c>
    </row>
    <row r="15" spans="1:3" x14ac:dyDescent="0.2">
      <c r="A15" s="207" t="s">
        <v>260</v>
      </c>
      <c r="B15" s="11">
        <f>Summary!R40</f>
        <v>0</v>
      </c>
      <c r="C15" s="400">
        <f>B15/Summary!O41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58"/>
  <sheetViews>
    <sheetView tabSelected="1" zoomScale="80" zoomScaleNormal="80" workbookViewId="0">
      <pane xSplit="3" ySplit="5" topLeftCell="D6" activePane="bottomRight" state="frozen"/>
      <selection activeCell="D23" sqref="D23"/>
      <selection pane="topRight" activeCell="D23" sqref="D23"/>
      <selection pane="bottomLeft" activeCell="D23" sqref="D23"/>
      <selection pane="bottomRight" activeCell="D6" sqref="D6"/>
    </sheetView>
  </sheetViews>
  <sheetFormatPr defaultRowHeight="12.75" x14ac:dyDescent="0.2"/>
  <cols>
    <col min="1" max="1" width="4.7109375" hidden="1" customWidth="1"/>
    <col min="2" max="2" width="6.85546875" customWidth="1"/>
    <col min="3" max="3" width="32.140625" bestFit="1" customWidth="1"/>
    <col min="4" max="4" width="8" style="54" customWidth="1"/>
    <col min="5" max="5" width="12.85546875" style="54" customWidth="1"/>
    <col min="6" max="6" width="13.85546875" style="54" customWidth="1"/>
    <col min="7" max="7" width="10.7109375" style="54" customWidth="1"/>
    <col min="8" max="8" width="10.5703125" style="54" customWidth="1"/>
    <col min="9" max="9" width="15.5703125" style="54" customWidth="1"/>
    <col min="10" max="10" width="17" bestFit="1" customWidth="1"/>
    <col min="11" max="11" width="11" style="6" customWidth="1"/>
    <col min="12" max="12" width="13.140625" style="68" bestFit="1" customWidth="1"/>
    <col min="13" max="13" width="9" style="43" customWidth="1"/>
    <col min="14" max="14" width="12.5703125" customWidth="1"/>
    <col min="15" max="15" width="13.42578125" style="54" customWidth="1"/>
    <col min="16" max="16" width="14.28515625" style="54" customWidth="1"/>
    <col min="17" max="17" width="13.7109375" style="6" customWidth="1"/>
    <col min="18" max="18" width="13" bestFit="1" customWidth="1"/>
    <col min="19" max="19" width="8.28515625" customWidth="1"/>
    <col min="20" max="20" width="2.7109375" customWidth="1"/>
    <col min="21" max="21" width="13.42578125" customWidth="1"/>
    <col min="22" max="22" width="14.5703125" style="24" customWidth="1"/>
    <col min="23" max="23" width="13.42578125" customWidth="1"/>
    <col min="25" max="25" width="11.5703125" bestFit="1" customWidth="1"/>
  </cols>
  <sheetData>
    <row r="1" spans="1:25" s="15" customFormat="1" ht="15.75" x14ac:dyDescent="0.25">
      <c r="A1" s="196"/>
      <c r="B1" s="39"/>
      <c r="D1" s="177"/>
      <c r="E1" s="91"/>
      <c r="F1" s="91"/>
      <c r="G1" s="91"/>
      <c r="H1" s="91"/>
      <c r="I1" s="47"/>
      <c r="J1" s="460"/>
      <c r="K1" s="22"/>
      <c r="L1" s="66"/>
      <c r="M1" s="49"/>
      <c r="O1" s="58"/>
      <c r="P1" s="88"/>
      <c r="Q1" s="28"/>
      <c r="R1" s="467"/>
      <c r="V1" s="214"/>
      <c r="W1" s="467"/>
    </row>
    <row r="2" spans="1:25" s="15" customFormat="1" ht="24.75" customHeight="1" x14ac:dyDescent="0.2">
      <c r="A2" s="196"/>
      <c r="B2" s="196"/>
      <c r="C2" s="196"/>
      <c r="D2" s="91"/>
      <c r="E2" s="91"/>
      <c r="F2" s="91"/>
      <c r="G2" s="91"/>
      <c r="H2" s="91"/>
      <c r="I2" s="47"/>
      <c r="J2" s="26" t="s">
        <v>148</v>
      </c>
      <c r="K2" s="25" t="s">
        <v>149</v>
      </c>
      <c r="L2" s="66"/>
      <c r="M2" s="44" t="s">
        <v>150</v>
      </c>
      <c r="N2" s="86" t="s">
        <v>151</v>
      </c>
      <c r="O2" s="86" t="s">
        <v>154</v>
      </c>
      <c r="P2" s="48" t="s">
        <v>153</v>
      </c>
      <c r="Q2" s="25" t="s">
        <v>155</v>
      </c>
      <c r="R2" s="26" t="s">
        <v>156</v>
      </c>
      <c r="S2" s="48" t="s">
        <v>157</v>
      </c>
      <c r="U2" s="205"/>
      <c r="V2" s="214"/>
      <c r="W2" s="205"/>
    </row>
    <row r="3" spans="1:25" s="15" customFormat="1" x14ac:dyDescent="0.2">
      <c r="A3" s="29"/>
      <c r="B3" s="19"/>
      <c r="C3" s="19"/>
      <c r="D3" s="178"/>
      <c r="E3" s="59" t="s">
        <v>52</v>
      </c>
      <c r="F3" s="59" t="s">
        <v>53</v>
      </c>
      <c r="G3" s="59" t="s">
        <v>55</v>
      </c>
      <c r="H3" s="59" t="s">
        <v>54</v>
      </c>
      <c r="I3" s="59" t="s">
        <v>56</v>
      </c>
      <c r="J3" s="14" t="s">
        <v>57</v>
      </c>
      <c r="K3" s="23" t="s">
        <v>58</v>
      </c>
      <c r="L3" s="67" t="s">
        <v>59</v>
      </c>
      <c r="M3" s="45" t="s">
        <v>51</v>
      </c>
      <c r="N3" s="14" t="s">
        <v>120</v>
      </c>
      <c r="O3" s="59" t="s">
        <v>60</v>
      </c>
      <c r="P3" s="59" t="s">
        <v>152</v>
      </c>
      <c r="Q3" s="23" t="s">
        <v>61</v>
      </c>
      <c r="R3" s="14" t="s">
        <v>64</v>
      </c>
      <c r="S3" s="47" t="s">
        <v>65</v>
      </c>
      <c r="U3" s="47" t="s">
        <v>115</v>
      </c>
      <c r="V3" s="47" t="s">
        <v>138</v>
      </c>
      <c r="W3" s="47" t="s">
        <v>269</v>
      </c>
    </row>
    <row r="4" spans="1:25" ht="92.25" customHeight="1" x14ac:dyDescent="0.2">
      <c r="B4" s="1" t="s">
        <v>0</v>
      </c>
      <c r="C4" s="1" t="s">
        <v>1</v>
      </c>
      <c r="D4" s="179" t="s">
        <v>304</v>
      </c>
      <c r="E4" s="60" t="s">
        <v>263</v>
      </c>
      <c r="F4" s="60" t="s">
        <v>266</v>
      </c>
      <c r="G4" s="60" t="s">
        <v>264</v>
      </c>
      <c r="H4" s="211" t="s">
        <v>265</v>
      </c>
      <c r="I4" s="60" t="s">
        <v>267</v>
      </c>
      <c r="J4" s="13" t="s">
        <v>67</v>
      </c>
      <c r="K4" s="20" t="s">
        <v>268</v>
      </c>
      <c r="L4" s="105" t="s">
        <v>271</v>
      </c>
      <c r="M4" s="40" t="s">
        <v>272</v>
      </c>
      <c r="N4" s="195" t="s">
        <v>270</v>
      </c>
      <c r="O4" s="60" t="s">
        <v>114</v>
      </c>
      <c r="P4" s="61" t="s">
        <v>311</v>
      </c>
      <c r="Q4" s="40" t="s">
        <v>312</v>
      </c>
      <c r="R4" s="31" t="s">
        <v>313</v>
      </c>
      <c r="S4" s="31" t="s">
        <v>314</v>
      </c>
      <c r="U4" s="174" t="s">
        <v>328</v>
      </c>
      <c r="V4" s="489" t="s">
        <v>327</v>
      </c>
      <c r="W4" s="408" t="s">
        <v>283</v>
      </c>
    </row>
    <row r="5" spans="1:25" x14ac:dyDescent="0.2">
      <c r="B5" s="2"/>
      <c r="C5" s="2"/>
      <c r="D5" s="180"/>
      <c r="N5" s="17"/>
      <c r="O5" s="52"/>
      <c r="P5" s="62"/>
      <c r="Q5" s="41"/>
      <c r="R5" s="27"/>
      <c r="U5" s="175"/>
      <c r="V5" s="405"/>
      <c r="W5" s="409"/>
    </row>
    <row r="6" spans="1:25" x14ac:dyDescent="0.2">
      <c r="A6">
        <v>1</v>
      </c>
      <c r="B6" s="10" t="s">
        <v>2</v>
      </c>
      <c r="C6" s="3" t="s">
        <v>128</v>
      </c>
      <c r="D6" s="181">
        <v>1925</v>
      </c>
      <c r="E6" s="92">
        <f>Instruction!M8</f>
        <v>6454655.5</v>
      </c>
      <c r="F6" s="92">
        <f>'Student&amp;Institutional Support'!S9</f>
        <v>4295459.9094769042</v>
      </c>
      <c r="G6" s="92">
        <f>Facilities!H9</f>
        <v>1341669.1530219456</v>
      </c>
      <c r="H6" s="92">
        <f>'Student Success'!E7</f>
        <v>0</v>
      </c>
      <c r="I6" s="92">
        <f>Research!H9</f>
        <v>48401.011043523307</v>
      </c>
      <c r="J6" s="8">
        <f t="shared" ref="J6:J35" si="0">SUM(E6:I6)</f>
        <v>12140185.573542371</v>
      </c>
      <c r="K6" s="9">
        <f t="shared" ref="K6:K35" si="1">+J6/$J$37</f>
        <v>1.7515345023235228E-2</v>
      </c>
      <c r="L6" s="69">
        <v>9272091.7404248863</v>
      </c>
      <c r="M6" s="50">
        <v>1.7218417856509814E-2</v>
      </c>
      <c r="N6" s="18">
        <f t="shared" ref="N6:N35" si="2">M6*$O$39</f>
        <v>4916547.3618977517</v>
      </c>
      <c r="O6" s="53">
        <f t="shared" ref="O6:O35" si="3">K6*$O$39</f>
        <v>5001331.9507261422</v>
      </c>
      <c r="P6" s="63">
        <f>N6+O6</f>
        <v>9917879.3126238938</v>
      </c>
      <c r="Q6" s="42">
        <f t="shared" ref="Q6:Q35" si="4">P6/$P$37</f>
        <v>1.7366881439872521E-2</v>
      </c>
      <c r="R6" s="38">
        <f>P6-L6</f>
        <v>645787.5721990075</v>
      </c>
      <c r="S6" s="46">
        <f t="shared" ref="S6:S35" si="5">R6/L6</f>
        <v>6.9648531343092041E-2</v>
      </c>
      <c r="U6" s="210">
        <v>1151376</v>
      </c>
      <c r="V6" s="469">
        <v>132654</v>
      </c>
      <c r="W6" s="410">
        <v>100000</v>
      </c>
    </row>
    <row r="7" spans="1:25" s="54" customFormat="1" x14ac:dyDescent="0.2">
      <c r="A7" s="54">
        <v>2</v>
      </c>
      <c r="B7" s="10" t="s">
        <v>4</v>
      </c>
      <c r="C7" s="3" t="s">
        <v>124</v>
      </c>
      <c r="D7" s="181">
        <v>6810</v>
      </c>
      <c r="E7" s="92">
        <f>Instruction!M9</f>
        <v>18012399</v>
      </c>
      <c r="F7" s="92">
        <f>'Student&amp;Institutional Support'!S10</f>
        <v>10999429.293034233</v>
      </c>
      <c r="G7" s="92">
        <f>Facilities!H10</f>
        <v>2155628.6134418971</v>
      </c>
      <c r="H7" s="92">
        <f>'Student Success'!E8</f>
        <v>108000</v>
      </c>
      <c r="I7" s="92">
        <f>Research!H10</f>
        <v>24578.779876834287</v>
      </c>
      <c r="J7" s="92">
        <f>SUM(E7:I7)</f>
        <v>31300035.686352964</v>
      </c>
      <c r="K7" s="137">
        <f t="shared" si="1"/>
        <v>4.5158364422437716E-2</v>
      </c>
      <c r="L7" s="92">
        <v>23316225.512775242</v>
      </c>
      <c r="M7" s="50">
        <v>4.3298591618247076E-2</v>
      </c>
      <c r="N7" s="53">
        <f t="shared" si="2"/>
        <v>12363480.67334751</v>
      </c>
      <c r="O7" s="53">
        <f t="shared" si="3"/>
        <v>12894520.23519179</v>
      </c>
      <c r="P7" s="63">
        <f t="shared" ref="P7:P34" si="6">N7+O7</f>
        <v>25258000.908539303</v>
      </c>
      <c r="Q7" s="138">
        <f t="shared" si="4"/>
        <v>4.4228478020342403E-2</v>
      </c>
      <c r="R7" s="38">
        <f t="shared" ref="R7:R35" si="7">P7-L7</f>
        <v>1941775.3957640603</v>
      </c>
      <c r="S7" s="139">
        <f t="shared" si="5"/>
        <v>8.3280005792538678E-2</v>
      </c>
      <c r="U7" s="210">
        <v>3895501</v>
      </c>
      <c r="V7" s="469">
        <f>444556+112395</f>
        <v>556951</v>
      </c>
      <c r="W7" s="410">
        <v>100000</v>
      </c>
    </row>
    <row r="8" spans="1:25" ht="12" customHeight="1" x14ac:dyDescent="0.2">
      <c r="A8">
        <v>4</v>
      </c>
      <c r="B8" s="10" t="s">
        <v>5</v>
      </c>
      <c r="C8" s="3" t="s">
        <v>113</v>
      </c>
      <c r="D8" s="181">
        <v>4877</v>
      </c>
      <c r="E8" s="92">
        <f>Instruction!M10</f>
        <v>14198233.495000001</v>
      </c>
      <c r="F8" s="92">
        <f>'Student&amp;Institutional Support'!S11</f>
        <v>10205822.809823705</v>
      </c>
      <c r="G8" s="92">
        <f>Facilities!H11</f>
        <v>2013318.3408939084</v>
      </c>
      <c r="H8" s="92">
        <f>'Student Success'!E9</f>
        <v>20000</v>
      </c>
      <c r="I8" s="92">
        <f>Research!H11</f>
        <v>23148.881314832783</v>
      </c>
      <c r="J8" s="8">
        <f t="shared" si="0"/>
        <v>26460523.527032446</v>
      </c>
      <c r="K8" s="9">
        <f t="shared" si="1"/>
        <v>3.8176121465676442E-2</v>
      </c>
      <c r="L8" s="69">
        <v>20406663.403168555</v>
      </c>
      <c r="M8" s="50">
        <v>3.789548975243439E-2</v>
      </c>
      <c r="N8" s="18">
        <f t="shared" si="2"/>
        <v>10820678.863924421</v>
      </c>
      <c r="O8" s="53">
        <f t="shared" si="3"/>
        <v>10900810.448655559</v>
      </c>
      <c r="P8" s="63">
        <f t="shared" si="6"/>
        <v>21721489.312579982</v>
      </c>
      <c r="Q8" s="42">
        <f t="shared" si="4"/>
        <v>3.8035805609055416E-2</v>
      </c>
      <c r="R8" s="38">
        <f t="shared" si="7"/>
        <v>1314825.9094114266</v>
      </c>
      <c r="S8" s="46">
        <f t="shared" si="5"/>
        <v>6.4431204819464641E-2</v>
      </c>
      <c r="U8" s="210">
        <v>1984770</v>
      </c>
      <c r="V8" s="469">
        <f>248715+64897</f>
        <v>313612</v>
      </c>
      <c r="W8" s="410">
        <v>100000</v>
      </c>
    </row>
    <row r="9" spans="1:25" x14ac:dyDescent="0.2">
      <c r="A9">
        <v>3</v>
      </c>
      <c r="B9" s="37" t="s">
        <v>6</v>
      </c>
      <c r="C9" s="3" t="s">
        <v>7</v>
      </c>
      <c r="D9" s="181">
        <v>2562</v>
      </c>
      <c r="E9" s="92">
        <f>Instruction!M11</f>
        <v>7826598.5</v>
      </c>
      <c r="F9" s="92">
        <f>'Student&amp;Institutional Support'!S12</f>
        <v>5686000.5663234238</v>
      </c>
      <c r="G9" s="92">
        <f>Facilities!H12</f>
        <v>1817771.2891076126</v>
      </c>
      <c r="H9" s="92">
        <f>'Student Success'!E10</f>
        <v>52000</v>
      </c>
      <c r="I9" s="92">
        <f>Research!H12</f>
        <v>131790.92733140831</v>
      </c>
      <c r="J9" s="8">
        <f t="shared" si="0"/>
        <v>15514161.282762446</v>
      </c>
      <c r="K9" s="9">
        <f t="shared" si="1"/>
        <v>2.2383174125929967E-2</v>
      </c>
      <c r="L9" s="69">
        <v>12131503.845719229</v>
      </c>
      <c r="M9" s="50">
        <v>2.2528390388194916E-2</v>
      </c>
      <c r="N9" s="18">
        <f t="shared" si="2"/>
        <v>6432757.0194845935</v>
      </c>
      <c r="O9" s="53">
        <f t="shared" si="3"/>
        <v>6391291.9651983511</v>
      </c>
      <c r="P9" s="63">
        <f t="shared" si="6"/>
        <v>12824048.984682944</v>
      </c>
      <c r="Q9" s="42">
        <f t="shared" si="4"/>
        <v>2.2455782257062438E-2</v>
      </c>
      <c r="R9" s="38">
        <f t="shared" si="7"/>
        <v>692545.13896371424</v>
      </c>
      <c r="S9" s="46">
        <f t="shared" si="5"/>
        <v>5.7086503682565987E-2</v>
      </c>
      <c r="U9" s="210">
        <v>1183971</v>
      </c>
      <c r="V9" s="469">
        <v>213767</v>
      </c>
      <c r="W9" s="410">
        <v>200000</v>
      </c>
    </row>
    <row r="10" spans="1:25" x14ac:dyDescent="0.2">
      <c r="A10">
        <v>3</v>
      </c>
      <c r="B10" s="37" t="s">
        <v>8</v>
      </c>
      <c r="C10" s="3" t="s">
        <v>9</v>
      </c>
      <c r="D10" s="181">
        <v>5983</v>
      </c>
      <c r="E10" s="92">
        <f>Instruction!M12</f>
        <v>16430547.5</v>
      </c>
      <c r="F10" s="92">
        <f>'Student&amp;Institutional Support'!S13</f>
        <v>9471021.2807266153</v>
      </c>
      <c r="G10" s="92">
        <f>Facilities!H13</f>
        <v>1776298.1242041029</v>
      </c>
      <c r="H10" s="92">
        <f>'Student Success'!E11</f>
        <v>0</v>
      </c>
      <c r="I10" s="92">
        <f>Research!H13</f>
        <v>82840.953635557307</v>
      </c>
      <c r="J10" s="8">
        <f t="shared" si="0"/>
        <v>27760707.858566277</v>
      </c>
      <c r="K10" s="9">
        <f t="shared" si="1"/>
        <v>4.0051972293710741E-2</v>
      </c>
      <c r="L10" s="69">
        <v>21032776.124634363</v>
      </c>
      <c r="M10" s="50">
        <v>3.9058190765893168E-2</v>
      </c>
      <c r="N10" s="18">
        <f>M10*$O$39</f>
        <v>11152676.53339876</v>
      </c>
      <c r="O10" s="53">
        <f t="shared" si="3"/>
        <v>11436440.92973364</v>
      </c>
      <c r="P10" s="63">
        <f t="shared" si="6"/>
        <v>22589117.4631324</v>
      </c>
      <c r="Q10" s="42">
        <f t="shared" si="4"/>
        <v>3.9555081529801958E-2</v>
      </c>
      <c r="R10" s="38">
        <f t="shared" si="7"/>
        <v>1556341.3384980373</v>
      </c>
      <c r="S10" s="46">
        <f t="shared" si="5"/>
        <v>7.3996001729661975E-2</v>
      </c>
      <c r="U10" s="210">
        <v>3749422</v>
      </c>
      <c r="V10" s="469">
        <v>517221</v>
      </c>
      <c r="W10" s="410"/>
    </row>
    <row r="11" spans="1:25" s="54" customFormat="1" x14ac:dyDescent="0.2">
      <c r="A11" s="54">
        <v>1</v>
      </c>
      <c r="B11" s="37" t="s">
        <v>10</v>
      </c>
      <c r="C11" s="3" t="s">
        <v>146</v>
      </c>
      <c r="D11" s="181">
        <v>4956</v>
      </c>
      <c r="E11" s="92">
        <f>Instruction!M13</f>
        <v>15327144</v>
      </c>
      <c r="F11" s="92">
        <f>'Student&amp;Institutional Support'!S14</f>
        <v>8918761.5875330083</v>
      </c>
      <c r="G11" s="92">
        <f>Facilities!H14</f>
        <v>2246971.9229416759</v>
      </c>
      <c r="H11" s="92">
        <f>'Student Success'!E12</f>
        <v>494106.26903512812</v>
      </c>
      <c r="I11" s="92">
        <f>Research!H14</f>
        <v>281644.18025465781</v>
      </c>
      <c r="J11" s="92">
        <f t="shared" si="0"/>
        <v>27268627.959764469</v>
      </c>
      <c r="K11" s="137">
        <f t="shared" si="1"/>
        <v>3.9342020279031824E-2</v>
      </c>
      <c r="L11" s="92">
        <v>21136959.022073105</v>
      </c>
      <c r="M11" s="50">
        <v>3.9251660018767488E-2</v>
      </c>
      <c r="N11" s="53">
        <f>M11*$O$39</f>
        <v>11207919.747540409</v>
      </c>
      <c r="O11" s="53">
        <f t="shared" si="3"/>
        <v>11233721.217973132</v>
      </c>
      <c r="P11" s="63">
        <f t="shared" si="6"/>
        <v>22441640.965513542</v>
      </c>
      <c r="Q11" s="138">
        <f t="shared" si="4"/>
        <v>3.9296840148899656E-2</v>
      </c>
      <c r="R11" s="304">
        <f t="shared" si="7"/>
        <v>1304681.9434404373</v>
      </c>
      <c r="S11" s="139">
        <f t="shared" si="5"/>
        <v>6.1725148924117783E-2</v>
      </c>
      <c r="U11" s="404">
        <v>3149692</v>
      </c>
      <c r="V11" s="469">
        <f>151675+227684</f>
        <v>379359</v>
      </c>
      <c r="W11" s="411"/>
    </row>
    <row r="12" spans="1:25" x14ac:dyDescent="0.2">
      <c r="A12">
        <v>2</v>
      </c>
      <c r="B12" s="37" t="s">
        <v>12</v>
      </c>
      <c r="C12" s="3" t="s">
        <v>13</v>
      </c>
      <c r="D12" s="181">
        <v>1025</v>
      </c>
      <c r="E12" s="92">
        <f>Instruction!M14</f>
        <v>2709566.5</v>
      </c>
      <c r="F12" s="92">
        <f>'Student&amp;Institutional Support'!S15</f>
        <v>3308916.5752987852</v>
      </c>
      <c r="G12" s="92">
        <f>Facilities!H15</f>
        <v>494131.13082781684</v>
      </c>
      <c r="H12" s="92">
        <f>'Student Success'!E13</f>
        <v>91460.82832716337</v>
      </c>
      <c r="I12" s="92">
        <f>Research!H15</f>
        <v>0</v>
      </c>
      <c r="J12" s="8">
        <f t="shared" si="0"/>
        <v>6604075.0344537655</v>
      </c>
      <c r="K12" s="9">
        <f t="shared" si="1"/>
        <v>9.5280794586766575E-3</v>
      </c>
      <c r="L12" s="69">
        <v>4971845.914654606</v>
      </c>
      <c r="M12" s="50">
        <v>9.2327948076127812E-3</v>
      </c>
      <c r="N12" s="18">
        <f>M12*$O$39</f>
        <v>2636332.404788855</v>
      </c>
      <c r="O12" s="53">
        <f t="shared" si="3"/>
        <v>2720647.9896640424</v>
      </c>
      <c r="P12" s="63">
        <f t="shared" si="6"/>
        <v>5356980.3944528978</v>
      </c>
      <c r="Q12" s="42">
        <f t="shared" si="4"/>
        <v>9.3804371331447194E-3</v>
      </c>
      <c r="R12" s="38">
        <f t="shared" si="7"/>
        <v>385134.47979829181</v>
      </c>
      <c r="S12" s="46">
        <f t="shared" si="5"/>
        <v>7.7463076372318973E-2</v>
      </c>
      <c r="U12" s="210">
        <v>395953</v>
      </c>
      <c r="V12" s="469">
        <v>93721</v>
      </c>
      <c r="W12" s="410">
        <v>100000</v>
      </c>
    </row>
    <row r="13" spans="1:25" x14ac:dyDescent="0.2">
      <c r="A13">
        <v>1</v>
      </c>
      <c r="B13" s="37" t="s">
        <v>14</v>
      </c>
      <c r="C13" s="3" t="s">
        <v>139</v>
      </c>
      <c r="D13" s="181">
        <v>3368</v>
      </c>
      <c r="E13" s="92">
        <f>Instruction!M15</f>
        <v>12340761.5</v>
      </c>
      <c r="F13" s="92">
        <f>'Student&amp;Institutional Support'!S16</f>
        <v>7352416.8432156062</v>
      </c>
      <c r="G13" s="92">
        <f>Facilities!H16</f>
        <v>2616783.9815421193</v>
      </c>
      <c r="H13" s="92">
        <f>'Student Success'!E14</f>
        <v>84000</v>
      </c>
      <c r="I13" s="92">
        <f>Research!H16</f>
        <v>0</v>
      </c>
      <c r="J13" s="8">
        <f t="shared" si="0"/>
        <v>22393962.324757725</v>
      </c>
      <c r="K13" s="9">
        <f t="shared" si="1"/>
        <v>3.2309059377995303E-2</v>
      </c>
      <c r="L13" s="69">
        <v>17333655.421217848</v>
      </c>
      <c r="M13" s="50">
        <v>3.2188866372196714E-2</v>
      </c>
      <c r="N13" s="18">
        <f t="shared" si="2"/>
        <v>9191209.5155055113</v>
      </c>
      <c r="O13" s="53">
        <f t="shared" si="3"/>
        <v>9225529.4286649078</v>
      </c>
      <c r="P13" s="63">
        <f t="shared" si="6"/>
        <v>18416738.944170419</v>
      </c>
      <c r="Q13" s="42">
        <f t="shared" si="4"/>
        <v>3.2248962875096009E-2</v>
      </c>
      <c r="R13" s="38">
        <f t="shared" si="7"/>
        <v>1083083.5229525715</v>
      </c>
      <c r="S13" s="46">
        <f t="shared" si="5"/>
        <v>6.2484426777446291E-2</v>
      </c>
      <c r="U13" s="210">
        <v>2072650</v>
      </c>
      <c r="V13" s="469">
        <v>294918</v>
      </c>
      <c r="W13" s="410"/>
      <c r="Y13" s="11"/>
    </row>
    <row r="14" spans="1:25" x14ac:dyDescent="0.2">
      <c r="A14">
        <v>3</v>
      </c>
      <c r="B14" s="37" t="s">
        <v>16</v>
      </c>
      <c r="C14" s="3" t="s">
        <v>17</v>
      </c>
      <c r="D14" s="181">
        <v>3146</v>
      </c>
      <c r="E14" s="92">
        <f>Instruction!M16</f>
        <v>9775795.5</v>
      </c>
      <c r="F14" s="92">
        <f>'Student&amp;Institutional Support'!S17</f>
        <v>6306976.9465440959</v>
      </c>
      <c r="G14" s="92">
        <f>Facilities!H17</f>
        <v>1048548.6308910809</v>
      </c>
      <c r="H14" s="92">
        <f>'Student Success'!E15</f>
        <v>4000</v>
      </c>
      <c r="I14" s="92">
        <f>Research!H17</f>
        <v>3826.7009117032526</v>
      </c>
      <c r="J14" s="8">
        <f t="shared" si="0"/>
        <v>17139147.778346881</v>
      </c>
      <c r="K14" s="9">
        <f t="shared" si="1"/>
        <v>2.4727635745222524E-2</v>
      </c>
      <c r="L14" s="69">
        <v>12980231.913146727</v>
      </c>
      <c r="M14" s="50">
        <v>2.4104491544291222E-2</v>
      </c>
      <c r="N14" s="18">
        <f t="shared" si="2"/>
        <v>6882796.9735422544</v>
      </c>
      <c r="O14" s="53">
        <f t="shared" si="3"/>
        <v>7060729.5805159183</v>
      </c>
      <c r="P14" s="63">
        <f t="shared" si="6"/>
        <v>13943526.554058172</v>
      </c>
      <c r="Q14" s="42">
        <f t="shared" si="4"/>
        <v>2.4416063644756871E-2</v>
      </c>
      <c r="R14" s="38">
        <f t="shared" si="7"/>
        <v>963294.64091144502</v>
      </c>
      <c r="S14" s="46">
        <f t="shared" si="5"/>
        <v>7.4212436831409337E-2</v>
      </c>
      <c r="U14" s="210">
        <v>1736506.035117818</v>
      </c>
      <c r="V14" s="469">
        <v>259822</v>
      </c>
      <c r="W14" s="410">
        <v>100000</v>
      </c>
      <c r="Y14" s="11"/>
    </row>
    <row r="15" spans="1:25" x14ac:dyDescent="0.2">
      <c r="A15">
        <v>4</v>
      </c>
      <c r="B15" s="37" t="s">
        <v>18</v>
      </c>
      <c r="C15" s="3" t="s">
        <v>140</v>
      </c>
      <c r="D15" s="181">
        <v>6064</v>
      </c>
      <c r="E15" s="92">
        <f>Instruction!M17</f>
        <v>19226534.73</v>
      </c>
      <c r="F15" s="92">
        <f>'Student&amp;Institutional Support'!S18</f>
        <v>12576985.787747223</v>
      </c>
      <c r="G15" s="92">
        <f>Facilities!H18</f>
        <v>753519.71576349821</v>
      </c>
      <c r="H15" s="92">
        <f>'Student Success'!E16</f>
        <v>0</v>
      </c>
      <c r="I15" s="92">
        <f>Research!H18</f>
        <v>22038.45228913653</v>
      </c>
      <c r="J15" s="8">
        <f t="shared" si="0"/>
        <v>32579078.685799859</v>
      </c>
      <c r="K15" s="9">
        <f t="shared" si="1"/>
        <v>4.700371343289185E-2</v>
      </c>
      <c r="L15" s="69">
        <v>25373254.087962158</v>
      </c>
      <c r="M15" s="50">
        <v>4.7118525516865545E-2</v>
      </c>
      <c r="N15" s="18">
        <f t="shared" si="2"/>
        <v>13454224.671337772</v>
      </c>
      <c r="O15" s="53">
        <f t="shared" si="3"/>
        <v>13421441.226698494</v>
      </c>
      <c r="P15" s="63">
        <f t="shared" si="6"/>
        <v>26875665.898036264</v>
      </c>
      <c r="Q15" s="42">
        <f t="shared" si="4"/>
        <v>4.706111947487869E-2</v>
      </c>
      <c r="R15" s="38">
        <f t="shared" si="7"/>
        <v>1502411.8100741059</v>
      </c>
      <c r="S15" s="46">
        <f t="shared" si="5"/>
        <v>5.9212421271061785E-2</v>
      </c>
      <c r="U15" s="210">
        <v>2223553</v>
      </c>
      <c r="V15" s="469">
        <v>454122</v>
      </c>
      <c r="W15" s="410"/>
    </row>
    <row r="16" spans="1:25" x14ac:dyDescent="0.2">
      <c r="A16">
        <v>3</v>
      </c>
      <c r="B16" s="37" t="s">
        <v>19</v>
      </c>
      <c r="C16" s="3" t="s">
        <v>20</v>
      </c>
      <c r="D16" s="181">
        <v>4792</v>
      </c>
      <c r="E16" s="92">
        <f>Instruction!M18</f>
        <v>13715745</v>
      </c>
      <c r="F16" s="92">
        <f>'Student&amp;Institutional Support'!S19</f>
        <v>8930009.2003258336</v>
      </c>
      <c r="G16" s="92">
        <f>Facilities!H19</f>
        <v>2610492.8881976223</v>
      </c>
      <c r="H16" s="92">
        <f>'Student Success'!E17</f>
        <v>12000</v>
      </c>
      <c r="I16" s="92">
        <f>Research!H19</f>
        <v>13595.212817048883</v>
      </c>
      <c r="J16" s="8">
        <f t="shared" si="0"/>
        <v>25281842.301340505</v>
      </c>
      <c r="K16" s="9">
        <f t="shared" si="1"/>
        <v>3.647557016723528E-2</v>
      </c>
      <c r="L16" s="69">
        <v>19620306.188326385</v>
      </c>
      <c r="M16" s="50">
        <v>3.6435212234837984E-2</v>
      </c>
      <c r="N16" s="18">
        <f t="shared" si="2"/>
        <v>10403711.19380467</v>
      </c>
      <c r="O16" s="53">
        <f t="shared" si="3"/>
        <v>10415234.998588195</v>
      </c>
      <c r="P16" s="63">
        <f t="shared" si="6"/>
        <v>20818946.192392863</v>
      </c>
      <c r="Q16" s="42">
        <f t="shared" si="4"/>
        <v>3.6455391201036629E-2</v>
      </c>
      <c r="R16" s="38">
        <f t="shared" si="7"/>
        <v>1198640.0040664785</v>
      </c>
      <c r="S16" s="46">
        <f t="shared" si="5"/>
        <v>6.1091809300083233E-2</v>
      </c>
      <c r="U16" s="210">
        <v>2952490.6059439434</v>
      </c>
      <c r="V16" s="469">
        <v>442263</v>
      </c>
      <c r="W16" s="410"/>
    </row>
    <row r="17" spans="1:25" ht="12" customHeight="1" x14ac:dyDescent="0.2">
      <c r="A17">
        <v>1</v>
      </c>
      <c r="B17" s="37" t="s">
        <v>21</v>
      </c>
      <c r="C17" s="121" t="s">
        <v>177</v>
      </c>
      <c r="D17" s="181">
        <v>1220</v>
      </c>
      <c r="E17" s="92">
        <f>Instruction!M19</f>
        <v>4535857</v>
      </c>
      <c r="F17" s="92">
        <f>'Student&amp;Institutional Support'!S20</f>
        <v>3767593.7683669971</v>
      </c>
      <c r="G17" s="92">
        <f>Facilities!H20</f>
        <v>862260.82674728497</v>
      </c>
      <c r="H17" s="92">
        <f>'Student Success'!E18</f>
        <v>12000</v>
      </c>
      <c r="I17" s="92">
        <f>Research!H20</f>
        <v>1809.7979734285441</v>
      </c>
      <c r="J17" s="8">
        <f t="shared" si="0"/>
        <v>9179521.3930877093</v>
      </c>
      <c r="K17" s="9">
        <f t="shared" si="1"/>
        <v>1.324382427056966E-2</v>
      </c>
      <c r="L17" s="69">
        <v>7398755.9055697536</v>
      </c>
      <c r="M17" s="50">
        <v>1.3739604219509365E-2</v>
      </c>
      <c r="N17" s="18">
        <f t="shared" si="2"/>
        <v>3923206.8498911839</v>
      </c>
      <c r="O17" s="53">
        <f t="shared" si="3"/>
        <v>3781641.8338511218</v>
      </c>
      <c r="P17" s="63">
        <f t="shared" si="6"/>
        <v>7704848.6837423053</v>
      </c>
      <c r="Q17" s="42">
        <f t="shared" si="4"/>
        <v>1.3491714245039511E-2</v>
      </c>
      <c r="R17" s="38">
        <f t="shared" si="7"/>
        <v>306092.77817255165</v>
      </c>
      <c r="S17" s="46">
        <f t="shared" si="5"/>
        <v>4.1370844244520387E-2</v>
      </c>
      <c r="U17" s="210">
        <v>758703.98604763986</v>
      </c>
      <c r="V17" s="469">
        <v>96793</v>
      </c>
      <c r="W17" s="410">
        <v>200000</v>
      </c>
      <c r="Y17" s="11"/>
    </row>
    <row r="18" spans="1:25" ht="12" customHeight="1" x14ac:dyDescent="0.2">
      <c r="B18" s="37" t="s">
        <v>109</v>
      </c>
      <c r="C18" s="3" t="s">
        <v>141</v>
      </c>
      <c r="D18" s="181">
        <v>4059</v>
      </c>
      <c r="E18" s="92">
        <f>Instruction!M20</f>
        <v>12468382</v>
      </c>
      <c r="F18" s="92">
        <f>'Student&amp;Institutional Support'!S21</f>
        <v>7703143.3627218995</v>
      </c>
      <c r="G18" s="92">
        <f>Facilities!H21</f>
        <v>1971199.914066104</v>
      </c>
      <c r="H18" s="92">
        <f>'Student Success'!E19</f>
        <v>28000</v>
      </c>
      <c r="I18" s="92">
        <f>Research!H21</f>
        <v>0</v>
      </c>
      <c r="J18" s="8">
        <f t="shared" si="0"/>
        <v>22170725.276788</v>
      </c>
      <c r="K18" s="9">
        <f t="shared" si="1"/>
        <v>3.1986982430038287E-2</v>
      </c>
      <c r="L18" s="69">
        <v>17770206.748459578</v>
      </c>
      <c r="M18" s="50">
        <v>3.2999548942936427E-2</v>
      </c>
      <c r="N18" s="18">
        <f t="shared" si="2"/>
        <v>9422691.8321574964</v>
      </c>
      <c r="O18" s="53">
        <f t="shared" si="3"/>
        <v>9133563.5708257984</v>
      </c>
      <c r="P18" s="63">
        <f t="shared" si="6"/>
        <v>18556255.402983293</v>
      </c>
      <c r="Q18" s="42">
        <f t="shared" si="4"/>
        <v>3.2493265686487353E-2</v>
      </c>
      <c r="R18" s="38">
        <f t="shared" si="7"/>
        <v>786048.65452371538</v>
      </c>
      <c r="S18" s="46">
        <f t="shared" si="5"/>
        <v>4.4234074800050066E-2</v>
      </c>
      <c r="U18" s="210">
        <v>2232691.5925639737</v>
      </c>
      <c r="V18" s="469">
        <v>346879</v>
      </c>
      <c r="W18" s="410">
        <v>300000</v>
      </c>
    </row>
    <row r="19" spans="1:25" x14ac:dyDescent="0.2">
      <c r="A19">
        <v>4</v>
      </c>
      <c r="B19" s="37" t="s">
        <v>26</v>
      </c>
      <c r="C19" s="3" t="s">
        <v>62</v>
      </c>
      <c r="D19" s="181">
        <v>5297</v>
      </c>
      <c r="E19" s="92">
        <f>Instruction!M21</f>
        <v>17333401.725000001</v>
      </c>
      <c r="F19" s="92">
        <f>'Student&amp;Institutional Support'!S22</f>
        <v>10733842.945574988</v>
      </c>
      <c r="G19" s="92">
        <f>Facilities!H22</f>
        <v>2414123.2669434883</v>
      </c>
      <c r="H19" s="92">
        <f>'Student Success'!E20</f>
        <v>201287.77268639501</v>
      </c>
      <c r="I19" s="92">
        <f>Research!H22</f>
        <v>175404.71461421778</v>
      </c>
      <c r="J19" s="8">
        <f t="shared" si="0"/>
        <v>30858060.424819089</v>
      </c>
      <c r="K19" s="9">
        <f t="shared" si="1"/>
        <v>4.4520701254061483E-2</v>
      </c>
      <c r="L19" s="69">
        <v>25014807.38745828</v>
      </c>
      <c r="M19" s="50">
        <v>4.6452884446722277E-2</v>
      </c>
      <c r="N19" s="18">
        <f t="shared" si="2"/>
        <v>13264157.507521883</v>
      </c>
      <c r="O19" s="53">
        <f t="shared" si="3"/>
        <v>12712441.881978041</v>
      </c>
      <c r="P19" s="63">
        <f t="shared" si="6"/>
        <v>25976599.389499925</v>
      </c>
      <c r="Q19" s="42">
        <f t="shared" si="4"/>
        <v>4.548679285039188E-2</v>
      </c>
      <c r="R19" s="38">
        <f t="shared" si="7"/>
        <v>961792.00204164535</v>
      </c>
      <c r="S19" s="46">
        <f t="shared" si="5"/>
        <v>3.8448906967153411E-2</v>
      </c>
      <c r="U19" s="210">
        <v>1867796.0000000002</v>
      </c>
      <c r="V19" s="469">
        <v>255069</v>
      </c>
      <c r="W19" s="410"/>
      <c r="Y19" s="492"/>
    </row>
    <row r="20" spans="1:25" x14ac:dyDescent="0.2">
      <c r="A20">
        <v>4</v>
      </c>
      <c r="B20" s="37" t="s">
        <v>22</v>
      </c>
      <c r="C20" s="3" t="s">
        <v>23</v>
      </c>
      <c r="D20" s="181">
        <v>13456</v>
      </c>
      <c r="E20" s="92">
        <f>Instruction!M22</f>
        <v>39049259.844999999</v>
      </c>
      <c r="F20" s="92">
        <f>'Student&amp;Institutional Support'!S23</f>
        <v>18957160.061992425</v>
      </c>
      <c r="G20" s="92">
        <f>Facilities!H23</f>
        <v>3185049.4057983407</v>
      </c>
      <c r="H20" s="92">
        <f>'Student Success'!E21</f>
        <v>319591.37691478047</v>
      </c>
      <c r="I20" s="92">
        <f>Research!H23</f>
        <v>775782.48843515804</v>
      </c>
      <c r="J20" s="8">
        <f t="shared" si="0"/>
        <v>62286843.178140692</v>
      </c>
      <c r="K20" s="9">
        <f t="shared" si="1"/>
        <v>8.9864816486074944E-2</v>
      </c>
      <c r="L20" s="69">
        <v>49334515.550802886</v>
      </c>
      <c r="M20" s="50">
        <v>9.1614958876936173E-2</v>
      </c>
      <c r="N20" s="18">
        <f t="shared" si="2"/>
        <v>26159737.098404575</v>
      </c>
      <c r="O20" s="53">
        <f t="shared" si="3"/>
        <v>25660001.406865355</v>
      </c>
      <c r="P20" s="63">
        <f t="shared" si="6"/>
        <v>51819738.50526993</v>
      </c>
      <c r="Q20" s="42">
        <f t="shared" si="4"/>
        <v>9.0739887681505565E-2</v>
      </c>
      <c r="R20" s="38">
        <f t="shared" si="7"/>
        <v>2485222.9544670433</v>
      </c>
      <c r="S20" s="46">
        <f t="shared" si="5"/>
        <v>5.0374933790681524E-2</v>
      </c>
      <c r="U20" s="210">
        <v>4801674</v>
      </c>
      <c r="V20" s="469">
        <v>608729</v>
      </c>
      <c r="W20" s="410"/>
    </row>
    <row r="21" spans="1:25" x14ac:dyDescent="0.2">
      <c r="A21">
        <v>3</v>
      </c>
      <c r="B21" s="37" t="s">
        <v>24</v>
      </c>
      <c r="C21" s="3" t="s">
        <v>137</v>
      </c>
      <c r="D21" s="181">
        <v>1917</v>
      </c>
      <c r="E21" s="92">
        <f>Instruction!M23</f>
        <v>6878715.5</v>
      </c>
      <c r="F21" s="92">
        <f>'Student&amp;Institutional Support'!S24</f>
        <v>4903914.4909844724</v>
      </c>
      <c r="G21" s="92">
        <f>Facilities!H24</f>
        <v>1544820.5108788835</v>
      </c>
      <c r="H21" s="92">
        <f>'Student Success'!E22</f>
        <v>186862.0291451845</v>
      </c>
      <c r="I21" s="92">
        <f>Research!H24</f>
        <v>190652.16543219984</v>
      </c>
      <c r="J21" s="8">
        <f t="shared" si="0"/>
        <v>13704964.696440741</v>
      </c>
      <c r="K21" s="9">
        <f t="shared" si="1"/>
        <v>1.9772941997901826E-2</v>
      </c>
      <c r="L21" s="69">
        <v>10505157.56236149</v>
      </c>
      <c r="M21" s="50">
        <v>1.9508240170726072E-2</v>
      </c>
      <c r="N21" s="18">
        <f t="shared" si="2"/>
        <v>5570383.269005686</v>
      </c>
      <c r="O21" s="53">
        <f t="shared" si="3"/>
        <v>5645966.2337667849</v>
      </c>
      <c r="P21" s="63">
        <f t="shared" si="6"/>
        <v>11216349.502772471</v>
      </c>
      <c r="Q21" s="42">
        <f t="shared" si="4"/>
        <v>1.9640591084313947E-2</v>
      </c>
      <c r="R21" s="38">
        <f t="shared" si="7"/>
        <v>711191.94041098095</v>
      </c>
      <c r="S21" s="46">
        <f t="shared" si="5"/>
        <v>6.7699312094002498E-2</v>
      </c>
      <c r="U21" s="210">
        <v>1164275.4114625854</v>
      </c>
      <c r="V21" s="469">
        <v>198472</v>
      </c>
      <c r="W21" s="410">
        <v>300000</v>
      </c>
    </row>
    <row r="22" spans="1:25" x14ac:dyDescent="0.2">
      <c r="A22">
        <v>2</v>
      </c>
      <c r="B22" s="37" t="s">
        <v>27</v>
      </c>
      <c r="C22" s="3" t="s">
        <v>132</v>
      </c>
      <c r="D22" s="181">
        <v>6843</v>
      </c>
      <c r="E22" s="92">
        <f>Instruction!M24</f>
        <v>16583308.5</v>
      </c>
      <c r="F22" s="92">
        <f>'Student&amp;Institutional Support'!S25</f>
        <v>9513800.9360167831</v>
      </c>
      <c r="G22" s="92">
        <f>Facilities!H25</f>
        <v>1209531.0044902589</v>
      </c>
      <c r="H22" s="92">
        <f>'Student Success'!E23</f>
        <v>118313.52232988543</v>
      </c>
      <c r="I22" s="92">
        <f>Research!H25</f>
        <v>1987.5549439112833</v>
      </c>
      <c r="J22" s="8">
        <f t="shared" si="0"/>
        <v>27426941.51778084</v>
      </c>
      <c r="K22" s="9">
        <f t="shared" si="1"/>
        <v>3.9570428368324612E-2</v>
      </c>
      <c r="L22" s="69">
        <v>19649727.500012696</v>
      </c>
      <c r="M22" s="50">
        <v>3.6489848065962574E-2</v>
      </c>
      <c r="N22" s="18">
        <f t="shared" si="2"/>
        <v>10419311.910062067</v>
      </c>
      <c r="O22" s="53">
        <f t="shared" si="3"/>
        <v>11298940.868129548</v>
      </c>
      <c r="P22" s="63">
        <f t="shared" si="6"/>
        <v>21718252.778191615</v>
      </c>
      <c r="Q22" s="42">
        <f t="shared" si="4"/>
        <v>3.8030138217143593E-2</v>
      </c>
      <c r="R22" s="38">
        <f t="shared" si="7"/>
        <v>2068525.2781789191</v>
      </c>
      <c r="S22" s="46">
        <f t="shared" si="5"/>
        <v>0.1052699218438313</v>
      </c>
      <c r="U22" s="210">
        <v>4260850.787470948</v>
      </c>
      <c r="V22" s="469">
        <v>591164</v>
      </c>
      <c r="W22" s="410"/>
    </row>
    <row r="23" spans="1:25" ht="14.25" customHeight="1" x14ac:dyDescent="0.2">
      <c r="A23">
        <v>2</v>
      </c>
      <c r="B23" s="37" t="s">
        <v>29</v>
      </c>
      <c r="C23" s="3" t="s">
        <v>133</v>
      </c>
      <c r="D23" s="181">
        <v>4154</v>
      </c>
      <c r="E23" s="92">
        <f>Instruction!M25</f>
        <v>11110407.5</v>
      </c>
      <c r="F23" s="92">
        <f>'Student&amp;Institutional Support'!S26</f>
        <v>7126217.6389183756</v>
      </c>
      <c r="G23" s="92">
        <f>Facilities!H26</f>
        <v>1156968.0892347093</v>
      </c>
      <c r="H23" s="92">
        <f>'Student Success'!E24</f>
        <v>437816.97987328988</v>
      </c>
      <c r="I23" s="92">
        <f>Research!H26</f>
        <v>36.357105549917001</v>
      </c>
      <c r="J23" s="8">
        <f t="shared" si="0"/>
        <v>19831446.565131925</v>
      </c>
      <c r="K23" s="9">
        <f t="shared" si="1"/>
        <v>2.8611970286116853E-2</v>
      </c>
      <c r="L23" s="69">
        <v>14886877.446582872</v>
      </c>
      <c r="M23" s="50">
        <v>2.764516180705625E-2</v>
      </c>
      <c r="N23" s="18">
        <f t="shared" si="2"/>
        <v>7893800.0276449155</v>
      </c>
      <c r="O23" s="53">
        <f t="shared" si="3"/>
        <v>8169862.5391252413</v>
      </c>
      <c r="P23" s="63">
        <f t="shared" si="6"/>
        <v>16063662.566770157</v>
      </c>
      <c r="Q23" s="42">
        <f t="shared" si="4"/>
        <v>2.8128566046586551E-2</v>
      </c>
      <c r="R23" s="38">
        <f t="shared" si="7"/>
        <v>1176785.1201872844</v>
      </c>
      <c r="S23" s="46">
        <f t="shared" si="5"/>
        <v>7.9048485782853214E-2</v>
      </c>
      <c r="U23" s="210">
        <v>2631637.4988586772</v>
      </c>
      <c r="V23" s="469">
        <v>374014</v>
      </c>
      <c r="W23" s="410"/>
    </row>
    <row r="24" spans="1:25" ht="12.75" customHeight="1" x14ac:dyDescent="0.2">
      <c r="A24">
        <v>3</v>
      </c>
      <c r="B24" s="37" t="s">
        <v>118</v>
      </c>
      <c r="C24" s="3" t="s">
        <v>63</v>
      </c>
      <c r="D24" s="182">
        <v>3466</v>
      </c>
      <c r="E24" s="92">
        <f>Instruction!M26</f>
        <v>10517182.5</v>
      </c>
      <c r="F24" s="92">
        <f>'Student&amp;Institutional Support'!S27</f>
        <v>7447371.5837440901</v>
      </c>
      <c r="G24" s="92">
        <f>Facilities!H27</f>
        <v>2702479.9955612789</v>
      </c>
      <c r="H24" s="92">
        <f>'Student Success'!E25</f>
        <v>226168.44693350192</v>
      </c>
      <c r="I24" s="92">
        <f>Research!H27</f>
        <v>281827.63793068391</v>
      </c>
      <c r="J24" s="8">
        <f t="shared" si="0"/>
        <v>21175030.164169554</v>
      </c>
      <c r="K24" s="9">
        <f t="shared" si="1"/>
        <v>3.0550435737253894E-2</v>
      </c>
      <c r="L24" s="69">
        <v>16875742.422986932</v>
      </c>
      <c r="M24" s="50">
        <v>3.133851484783768E-2</v>
      </c>
      <c r="N24" s="18">
        <f t="shared" si="2"/>
        <v>8948400.1250833534</v>
      </c>
      <c r="O24" s="53">
        <f t="shared" si="3"/>
        <v>8723372.0008737557</v>
      </c>
      <c r="P24" s="63">
        <f t="shared" si="6"/>
        <v>17671772.125957109</v>
      </c>
      <c r="Q24" s="42">
        <f t="shared" si="4"/>
        <v>3.0944475292545785E-2</v>
      </c>
      <c r="R24" s="38">
        <f t="shared" si="7"/>
        <v>796029.70297017694</v>
      </c>
      <c r="S24" s="46">
        <f t="shared" si="5"/>
        <v>4.7170055279220316E-2</v>
      </c>
      <c r="U24" s="210">
        <v>1973715.4858459979</v>
      </c>
      <c r="V24" s="469">
        <v>293439</v>
      </c>
      <c r="W24" s="410">
        <v>300000</v>
      </c>
    </row>
    <row r="25" spans="1:25" x14ac:dyDescent="0.2">
      <c r="A25">
        <v>3</v>
      </c>
      <c r="B25" s="37" t="s">
        <v>110</v>
      </c>
      <c r="C25" s="3" t="s">
        <v>134</v>
      </c>
      <c r="D25" s="181">
        <v>2101</v>
      </c>
      <c r="E25" s="92">
        <f>Instruction!M27</f>
        <v>7055170.5</v>
      </c>
      <c r="F25" s="92">
        <f>'Student&amp;Institutional Support'!S28</f>
        <v>4980146.6470653787</v>
      </c>
      <c r="G25" s="92">
        <f>Facilities!H28</f>
        <v>1375173.725343022</v>
      </c>
      <c r="H25" s="92">
        <f>'Student Success'!E26</f>
        <v>0</v>
      </c>
      <c r="I25" s="92">
        <f>Research!H28</f>
        <v>164777.79091128564</v>
      </c>
      <c r="J25" s="8">
        <f t="shared" si="0"/>
        <v>13575268.663319686</v>
      </c>
      <c r="K25" s="9">
        <f t="shared" si="1"/>
        <v>1.9585822060195851E-2</v>
      </c>
      <c r="L25" s="69">
        <v>10730790.900989577</v>
      </c>
      <c r="M25" s="50">
        <v>1.992724477245144E-2</v>
      </c>
      <c r="N25" s="18">
        <f t="shared" si="2"/>
        <v>5690025.850943435</v>
      </c>
      <c r="O25" s="53">
        <f t="shared" si="3"/>
        <v>5592536.0031989422</v>
      </c>
      <c r="P25" s="63">
        <f t="shared" si="6"/>
        <v>11282561.854142377</v>
      </c>
      <c r="Q25" s="42">
        <f t="shared" si="4"/>
        <v>1.9756533416323645E-2</v>
      </c>
      <c r="R25" s="38">
        <f t="shared" si="7"/>
        <v>551770.95315279998</v>
      </c>
      <c r="S25" s="46">
        <f t="shared" si="5"/>
        <v>5.1419411508793492E-2</v>
      </c>
      <c r="U25" s="210">
        <v>1289532.6501505214</v>
      </c>
      <c r="V25" s="469">
        <v>190137</v>
      </c>
      <c r="W25" s="410">
        <v>200000</v>
      </c>
    </row>
    <row r="26" spans="1:25" x14ac:dyDescent="0.2">
      <c r="A26">
        <v>1</v>
      </c>
      <c r="B26" s="37" t="s">
        <v>33</v>
      </c>
      <c r="C26" s="3" t="s">
        <v>130</v>
      </c>
      <c r="D26" s="181">
        <v>772</v>
      </c>
      <c r="E26" s="92">
        <f>Instruction!M28</f>
        <v>2313396.5</v>
      </c>
      <c r="F26" s="92">
        <f>'Student&amp;Institutional Support'!S29</f>
        <v>3068664.466399448</v>
      </c>
      <c r="G26" s="92">
        <f>Facilities!H29</f>
        <v>345377.44939370936</v>
      </c>
      <c r="H26" s="92">
        <f>'Student Success'!E27</f>
        <v>114187.65039843712</v>
      </c>
      <c r="I26" s="92">
        <f>Research!H29</f>
        <v>0</v>
      </c>
      <c r="J26" s="8">
        <f t="shared" si="0"/>
        <v>5841626.0661915941</v>
      </c>
      <c r="K26" s="9">
        <f t="shared" si="1"/>
        <v>8.4280504137479034E-3</v>
      </c>
      <c r="L26" s="69">
        <v>4020815.1732312227</v>
      </c>
      <c r="M26" s="50">
        <v>7.466716002673803E-3</v>
      </c>
      <c r="N26" s="18">
        <f t="shared" si="2"/>
        <v>2132046.2292710817</v>
      </c>
      <c r="O26" s="53">
        <f t="shared" si="3"/>
        <v>2406545.6752745342</v>
      </c>
      <c r="P26" s="63">
        <f t="shared" si="6"/>
        <v>4538591.9045456164</v>
      </c>
      <c r="Q26" s="42">
        <f t="shared" si="4"/>
        <v>7.9473832082108536E-3</v>
      </c>
      <c r="R26" s="38">
        <f t="shared" si="7"/>
        <v>517776.73131439369</v>
      </c>
      <c r="S26" s="46">
        <f t="shared" si="5"/>
        <v>0.12877406918913312</v>
      </c>
      <c r="U26" s="210">
        <v>345646.01627154736</v>
      </c>
      <c r="V26" s="469">
        <v>99701</v>
      </c>
      <c r="W26" s="410">
        <v>100000</v>
      </c>
    </row>
    <row r="27" spans="1:25" x14ac:dyDescent="0.2">
      <c r="A27">
        <v>3</v>
      </c>
      <c r="B27" s="37" t="s">
        <v>35</v>
      </c>
      <c r="C27" s="3" t="s">
        <v>36</v>
      </c>
      <c r="D27" s="181">
        <v>2619</v>
      </c>
      <c r="E27" s="92">
        <f>Instruction!M29</f>
        <v>9283418.5</v>
      </c>
      <c r="F27" s="92">
        <f>'Student&amp;Institutional Support'!S30</f>
        <v>5470475.0753465015</v>
      </c>
      <c r="G27" s="92">
        <f>Facilities!H30</f>
        <v>1846725.3061357704</v>
      </c>
      <c r="H27" s="92">
        <f>'Student Success'!E28</f>
        <v>4000</v>
      </c>
      <c r="I27" s="92">
        <f>Research!H30</f>
        <v>47702.573457580678</v>
      </c>
      <c r="J27" s="8">
        <f t="shared" si="0"/>
        <v>16652321.454939852</v>
      </c>
      <c r="K27" s="9">
        <f t="shared" si="1"/>
        <v>2.4025263366380941E-2</v>
      </c>
      <c r="L27" s="69">
        <v>12931339.448434019</v>
      </c>
      <c r="M27" s="50">
        <v>2.4013697480661792E-2</v>
      </c>
      <c r="N27" s="18">
        <f t="shared" si="2"/>
        <v>6856871.6348884199</v>
      </c>
      <c r="O27" s="53">
        <f t="shared" si="3"/>
        <v>6860174.1581164179</v>
      </c>
      <c r="P27" s="63">
        <f t="shared" si="6"/>
        <v>13717045.793004837</v>
      </c>
      <c r="Q27" s="42">
        <f t="shared" si="4"/>
        <v>2.4019480423521363E-2</v>
      </c>
      <c r="R27" s="38">
        <f t="shared" si="7"/>
        <v>785706.34457081743</v>
      </c>
      <c r="S27" s="46">
        <f t="shared" si="5"/>
        <v>6.0759857685583077E-2</v>
      </c>
      <c r="U27" s="210">
        <v>1653259.8009356083</v>
      </c>
      <c r="V27" s="469">
        <v>195371</v>
      </c>
      <c r="W27" s="410">
        <v>200000</v>
      </c>
    </row>
    <row r="28" spans="1:25" x14ac:dyDescent="0.2">
      <c r="A28">
        <v>3</v>
      </c>
      <c r="B28" s="37" t="s">
        <v>37</v>
      </c>
      <c r="C28" s="3" t="s">
        <v>131</v>
      </c>
      <c r="D28" s="181">
        <v>2009</v>
      </c>
      <c r="E28" s="92">
        <f>Instruction!M30</f>
        <v>6437050</v>
      </c>
      <c r="F28" s="92">
        <f>'Student&amp;Institutional Support'!S31</f>
        <v>4647417.1648087269</v>
      </c>
      <c r="G28" s="92">
        <f>Facilities!H31</f>
        <v>1456549.2629072987</v>
      </c>
      <c r="H28" s="92">
        <f>'Student Success'!E29</f>
        <v>0</v>
      </c>
      <c r="I28" s="92">
        <f>Research!H31</f>
        <v>0</v>
      </c>
      <c r="J28" s="8">
        <f t="shared" si="0"/>
        <v>12541016.427716026</v>
      </c>
      <c r="K28" s="9">
        <f t="shared" si="1"/>
        <v>1.8093646785121813E-2</v>
      </c>
      <c r="L28" s="69">
        <v>9946902.659881942</v>
      </c>
      <c r="M28" s="50">
        <v>1.8471552177289813E-2</v>
      </c>
      <c r="N28" s="18">
        <f t="shared" si="2"/>
        <v>5274367.3596628243</v>
      </c>
      <c r="O28" s="53">
        <f t="shared" si="3"/>
        <v>5166460.2468029717</v>
      </c>
      <c r="P28" s="63">
        <f t="shared" si="6"/>
        <v>10440827.606465796</v>
      </c>
      <c r="Q28" s="42">
        <f t="shared" si="4"/>
        <v>1.8282599481205811E-2</v>
      </c>
      <c r="R28" s="38">
        <f t="shared" si="7"/>
        <v>493924.94658385403</v>
      </c>
      <c r="S28" s="46">
        <f t="shared" si="5"/>
        <v>4.9656155636865991E-2</v>
      </c>
      <c r="U28" s="210">
        <v>1156615.7458106782</v>
      </c>
      <c r="V28" s="469">
        <v>195331</v>
      </c>
      <c r="W28" s="410">
        <v>300000</v>
      </c>
    </row>
    <row r="29" spans="1:25" x14ac:dyDescent="0.2">
      <c r="A29">
        <v>3</v>
      </c>
      <c r="B29" s="37" t="s">
        <v>39</v>
      </c>
      <c r="C29" s="3" t="s">
        <v>135</v>
      </c>
      <c r="D29" s="181">
        <v>3548</v>
      </c>
      <c r="E29" s="92">
        <f>Instruction!M31</f>
        <v>11055959</v>
      </c>
      <c r="F29" s="92">
        <f>'Student&amp;Institutional Support'!S32</f>
        <v>5978917.3562723706</v>
      </c>
      <c r="G29" s="92">
        <f>Facilities!H32</f>
        <v>2083355.5331530785</v>
      </c>
      <c r="H29" s="92">
        <f>'Student Success'!E30</f>
        <v>88000</v>
      </c>
      <c r="I29" s="92">
        <f>Research!H32</f>
        <v>96836.71494050113</v>
      </c>
      <c r="J29" s="8">
        <f t="shared" si="0"/>
        <v>19303068.604365949</v>
      </c>
      <c r="K29" s="9">
        <f t="shared" si="1"/>
        <v>2.7849648966609287E-2</v>
      </c>
      <c r="L29" s="69">
        <v>14347649.450434107</v>
      </c>
      <c r="M29" s="50">
        <v>2.6643807073135933E-2</v>
      </c>
      <c r="N29" s="18">
        <f t="shared" si="2"/>
        <v>7607873.1778955692</v>
      </c>
      <c r="O29" s="53">
        <f t="shared" si="3"/>
        <v>7952189.2950689457</v>
      </c>
      <c r="P29" s="63">
        <f t="shared" si="6"/>
        <v>15560062.472964514</v>
      </c>
      <c r="Q29" s="42">
        <f t="shared" si="4"/>
        <v>2.7246728019872608E-2</v>
      </c>
      <c r="R29" s="38">
        <f t="shared" si="7"/>
        <v>1212413.0225304067</v>
      </c>
      <c r="S29" s="46">
        <f t="shared" si="5"/>
        <v>8.4502554005020214E-2</v>
      </c>
      <c r="U29" s="210">
        <v>2273401.8378781937</v>
      </c>
      <c r="V29" s="469">
        <v>294873</v>
      </c>
      <c r="W29" s="410">
        <v>100000</v>
      </c>
    </row>
    <row r="30" spans="1:25" x14ac:dyDescent="0.2">
      <c r="A30">
        <v>1</v>
      </c>
      <c r="B30" s="37" t="s">
        <v>46</v>
      </c>
      <c r="C30" s="3" t="s">
        <v>70</v>
      </c>
      <c r="D30" s="181">
        <v>4557</v>
      </c>
      <c r="E30" s="92">
        <f>Instruction!M32</f>
        <v>12529204.5</v>
      </c>
      <c r="F30" s="92">
        <f>'Student&amp;Institutional Support'!S33</f>
        <v>7354295.3289349349</v>
      </c>
      <c r="G30" s="92">
        <f>Facilities!H33</f>
        <v>1285141.182080121</v>
      </c>
      <c r="H30" s="92">
        <f>'Student Success'!E31</f>
        <v>272719.97586782346</v>
      </c>
      <c r="I30" s="92">
        <f>Research!H33</f>
        <v>0</v>
      </c>
      <c r="J30" s="8">
        <f t="shared" si="0"/>
        <v>21441360.986882877</v>
      </c>
      <c r="K30" s="9">
        <f t="shared" si="1"/>
        <v>3.0934686556311576E-2</v>
      </c>
      <c r="L30" s="69">
        <v>15624671.321877474</v>
      </c>
      <c r="M30" s="50">
        <v>2.9015256451548409E-2</v>
      </c>
      <c r="N30" s="18">
        <f t="shared" si="2"/>
        <v>8285016.8784650052</v>
      </c>
      <c r="O30" s="53">
        <f t="shared" si="3"/>
        <v>8833090.9870482516</v>
      </c>
      <c r="P30" s="63">
        <f t="shared" si="6"/>
        <v>17118107.865513258</v>
      </c>
      <c r="Q30" s="42">
        <f t="shared" si="4"/>
        <v>2.9974971503929995E-2</v>
      </c>
      <c r="R30" s="38">
        <f t="shared" si="7"/>
        <v>1493436.5436357837</v>
      </c>
      <c r="S30" s="46">
        <f t="shared" si="5"/>
        <v>9.5581949397213373E-2</v>
      </c>
      <c r="U30" s="210">
        <v>2858398.069879645</v>
      </c>
      <c r="V30" s="469">
        <v>490202</v>
      </c>
      <c r="W30" s="410"/>
    </row>
    <row r="31" spans="1:25" x14ac:dyDescent="0.2">
      <c r="A31">
        <v>4</v>
      </c>
      <c r="B31" s="37" t="s">
        <v>41</v>
      </c>
      <c r="C31" s="3" t="s">
        <v>117</v>
      </c>
      <c r="D31" s="181">
        <v>2141</v>
      </c>
      <c r="E31" s="92">
        <f>Instruction!M33</f>
        <v>7668420.5</v>
      </c>
      <c r="F31" s="92">
        <f>'Student&amp;Institutional Support'!S34</f>
        <v>5045833.0203248123</v>
      </c>
      <c r="G31" s="92">
        <f>Facilities!H34</f>
        <v>1165744.9320456746</v>
      </c>
      <c r="H31" s="92">
        <f>'Student Success'!E32</f>
        <v>347581.7385720429</v>
      </c>
      <c r="I31" s="92">
        <f>Research!H34</f>
        <v>37303.220039833672</v>
      </c>
      <c r="J31" s="8">
        <f t="shared" si="0"/>
        <v>14264883.410982361</v>
      </c>
      <c r="K31" s="9">
        <f t="shared" si="1"/>
        <v>2.0580768979685037E-2</v>
      </c>
      <c r="L31" s="69">
        <v>10852692.471859336</v>
      </c>
      <c r="M31" s="50">
        <v>2.0153617876100677E-2</v>
      </c>
      <c r="N31" s="18">
        <f t="shared" si="2"/>
        <v>5754664.4312605271</v>
      </c>
      <c r="O31" s="53">
        <f t="shared" si="3"/>
        <v>5876633.1654938757</v>
      </c>
      <c r="P31" s="63">
        <f t="shared" si="6"/>
        <v>11631297.596754402</v>
      </c>
      <c r="Q31" s="42">
        <f t="shared" si="4"/>
        <v>2.0367193427892855E-2</v>
      </c>
      <c r="R31" s="38">
        <f t="shared" si="7"/>
        <v>778605.12489506602</v>
      </c>
      <c r="S31" s="46">
        <f t="shared" si="5"/>
        <v>7.1743037676038707E-2</v>
      </c>
      <c r="U31" s="210">
        <v>1358549.0791673549</v>
      </c>
      <c r="V31" s="469">
        <v>174446</v>
      </c>
      <c r="W31" s="410">
        <v>200000</v>
      </c>
    </row>
    <row r="32" spans="1:25" x14ac:dyDescent="0.2">
      <c r="A32">
        <v>4</v>
      </c>
      <c r="B32" s="37" t="s">
        <v>42</v>
      </c>
      <c r="C32" s="3" t="s">
        <v>69</v>
      </c>
      <c r="D32" s="181">
        <v>3608</v>
      </c>
      <c r="E32" s="92">
        <f>Instruction!M34</f>
        <v>9703358.3650000002</v>
      </c>
      <c r="F32" s="92">
        <f>'Student&amp;Institutional Support'!S35</f>
        <v>10335115.750237189</v>
      </c>
      <c r="G32" s="92">
        <f>Facilities!H35</f>
        <v>1882773.9414311047</v>
      </c>
      <c r="H32" s="92">
        <f>'Student Success'!E33</f>
        <v>0</v>
      </c>
      <c r="I32" s="92">
        <f>Research!H35</f>
        <v>116656.50243586936</v>
      </c>
      <c r="J32" s="8">
        <f t="shared" si="0"/>
        <v>22037904.559104167</v>
      </c>
      <c r="K32" s="9">
        <f t="shared" si="1"/>
        <v>3.1795354329926209E-2</v>
      </c>
      <c r="L32" s="69">
        <v>16795163.182484739</v>
      </c>
      <c r="M32" s="50">
        <v>3.118887795118383E-2</v>
      </c>
      <c r="N32" s="18">
        <f t="shared" si="2"/>
        <v>8905672.8027697112</v>
      </c>
      <c r="O32" s="53">
        <f t="shared" si="3"/>
        <v>9078846.0794788618</v>
      </c>
      <c r="P32" s="63">
        <f t="shared" si="6"/>
        <v>17984518.882248573</v>
      </c>
      <c r="Q32" s="42">
        <f t="shared" si="4"/>
        <v>3.149211614055502E-2</v>
      </c>
      <c r="R32" s="38">
        <f>P32-L32</f>
        <v>1189355.6997638345</v>
      </c>
      <c r="S32" s="46">
        <f t="shared" si="5"/>
        <v>7.0815370284951093E-2</v>
      </c>
      <c r="U32" s="210">
        <v>802083.00000000012</v>
      </c>
      <c r="V32" s="469">
        <v>287189</v>
      </c>
      <c r="W32" s="410"/>
    </row>
    <row r="33" spans="1:23" x14ac:dyDescent="0.2">
      <c r="A33">
        <v>1</v>
      </c>
      <c r="B33" s="37" t="s">
        <v>43</v>
      </c>
      <c r="C33" s="3" t="s">
        <v>44</v>
      </c>
      <c r="D33" s="181">
        <v>11081</v>
      </c>
      <c r="E33" s="92">
        <f>Instruction!M35</f>
        <v>35359003.935000002</v>
      </c>
      <c r="F33" s="92">
        <f>'Student&amp;Institutional Support'!S36</f>
        <v>20481713.859792337</v>
      </c>
      <c r="G33" s="92">
        <f>Facilities!H36</f>
        <v>4276836.6077012876</v>
      </c>
      <c r="H33" s="92">
        <f>'Student Success'!E34</f>
        <v>1012422.8940196794</v>
      </c>
      <c r="I33" s="92">
        <f>Research!H36</f>
        <v>707705.31609932915</v>
      </c>
      <c r="J33" s="8">
        <f t="shared" si="0"/>
        <v>61837682.612612635</v>
      </c>
      <c r="K33" s="9">
        <f t="shared" si="1"/>
        <v>8.9216786665740011E-2</v>
      </c>
      <c r="L33" s="69">
        <v>51457074.178989962</v>
      </c>
      <c r="M33" s="50">
        <v>9.5556583098116557E-2</v>
      </c>
      <c r="N33" s="18">
        <f t="shared" si="2"/>
        <v>27285228.553411279</v>
      </c>
      <c r="O33" s="53">
        <f t="shared" si="3"/>
        <v>25474962.95965435</v>
      </c>
      <c r="P33" s="63">
        <f t="shared" si="6"/>
        <v>52760191.513065629</v>
      </c>
      <c r="Q33" s="42">
        <f t="shared" si="4"/>
        <v>9.2386684881928277E-2</v>
      </c>
      <c r="R33" s="38">
        <f t="shared" si="7"/>
        <v>1303117.334075667</v>
      </c>
      <c r="S33" s="46">
        <f t="shared" si="5"/>
        <v>2.5324357337979636E-2</v>
      </c>
      <c r="U33" s="210">
        <v>3712755</v>
      </c>
      <c r="V33" s="469">
        <v>610442</v>
      </c>
      <c r="W33" s="410"/>
    </row>
    <row r="34" spans="1:23" x14ac:dyDescent="0.2">
      <c r="A34">
        <v>1</v>
      </c>
      <c r="B34" s="37" t="s">
        <v>45</v>
      </c>
      <c r="C34" s="3" t="s">
        <v>136</v>
      </c>
      <c r="D34" s="181">
        <v>3116</v>
      </c>
      <c r="E34" s="92">
        <f>Instruction!M36</f>
        <v>9322071</v>
      </c>
      <c r="F34" s="92">
        <f>'Student&amp;Institutional Support'!S37</f>
        <v>5289547.4147149725</v>
      </c>
      <c r="G34" s="92">
        <f>Facilities!H37</f>
        <v>1202996.9929586274</v>
      </c>
      <c r="H34" s="92">
        <f>'Student Success'!E35</f>
        <v>0</v>
      </c>
      <c r="I34" s="92">
        <f>Research!H37</f>
        <v>4160.64359621931</v>
      </c>
      <c r="J34" s="8">
        <f t="shared" si="0"/>
        <v>15818776.05126982</v>
      </c>
      <c r="K34" s="9">
        <f t="shared" si="1"/>
        <v>2.282265939880811E-2</v>
      </c>
      <c r="L34" s="69">
        <v>11923489.514529884</v>
      </c>
      <c r="M34" s="50">
        <v>2.2142104555954386E-2</v>
      </c>
      <c r="N34" s="18">
        <f t="shared" si="2"/>
        <v>6322456.9556072019</v>
      </c>
      <c r="O34" s="53">
        <f t="shared" si="3"/>
        <v>6516782.5983661963</v>
      </c>
      <c r="P34" s="63">
        <f t="shared" si="6"/>
        <v>12839239.553973399</v>
      </c>
      <c r="Q34" s="42">
        <f t="shared" si="4"/>
        <v>2.2482381977381248E-2</v>
      </c>
      <c r="R34" s="38">
        <f t="shared" si="7"/>
        <v>915750.03944351524</v>
      </c>
      <c r="S34" s="46">
        <f t="shared" si="5"/>
        <v>7.6802184320922867E-2</v>
      </c>
      <c r="U34" s="210">
        <v>1964470.668257111</v>
      </c>
      <c r="V34" s="469">
        <v>290735</v>
      </c>
      <c r="W34" s="410">
        <v>100000</v>
      </c>
    </row>
    <row r="35" spans="1:23" x14ac:dyDescent="0.2">
      <c r="A35">
        <v>4</v>
      </c>
      <c r="B35" s="37" t="s">
        <v>47</v>
      </c>
      <c r="C35" s="3" t="s">
        <v>48</v>
      </c>
      <c r="D35" s="181">
        <v>7357</v>
      </c>
      <c r="E35" s="92">
        <f>Instruction!M37</f>
        <v>23426947.759999998</v>
      </c>
      <c r="F35" s="92">
        <f>'Student&amp;Institutional Support'!S38</f>
        <v>12662484.636354692</v>
      </c>
      <c r="G35" s="92">
        <f>Facilities!H38</f>
        <v>2535949.9620355577</v>
      </c>
      <c r="H35" s="92">
        <f>'Student Success'!E36</f>
        <v>0</v>
      </c>
      <c r="I35" s="92">
        <f>Research!H38</f>
        <v>101951.87030804653</v>
      </c>
      <c r="J35" s="8">
        <f t="shared" si="0"/>
        <v>38727334.228698298</v>
      </c>
      <c r="K35" s="9">
        <f t="shared" si="1"/>
        <v>5.5874155855088051E-2</v>
      </c>
      <c r="L35" s="69">
        <v>30856581.998950124</v>
      </c>
      <c r="M35" s="50">
        <v>5.7301150307345387E-2</v>
      </c>
      <c r="N35" s="18">
        <f t="shared" si="2"/>
        <v>16361771.547481257</v>
      </c>
      <c r="O35" s="53">
        <f t="shared" si="3"/>
        <v>15954307.524470802</v>
      </c>
      <c r="P35" s="63">
        <f>N35+O35</f>
        <v>32316079.07195206</v>
      </c>
      <c r="Q35" s="42">
        <f t="shared" si="4"/>
        <v>5.6587653081216716E-2</v>
      </c>
      <c r="R35" s="38">
        <f t="shared" si="7"/>
        <v>1459497.0730019361</v>
      </c>
      <c r="S35" s="46">
        <f t="shared" si="5"/>
        <v>4.729937596625558E-2</v>
      </c>
      <c r="U35" s="210">
        <v>2849992</v>
      </c>
      <c r="V35" s="469">
        <v>349613</v>
      </c>
      <c r="W35" s="410"/>
    </row>
    <row r="36" spans="1:23" x14ac:dyDescent="0.2">
      <c r="N36" s="17"/>
      <c r="O36" s="52"/>
      <c r="P36" s="55"/>
      <c r="R36" s="11"/>
      <c r="W36" s="176">
        <v>0</v>
      </c>
    </row>
    <row r="37" spans="1:23" x14ac:dyDescent="0.2">
      <c r="B37" s="4"/>
      <c r="C37" s="4" t="s">
        <v>49</v>
      </c>
      <c r="D37" s="183">
        <f>SUM(D6:D36)</f>
        <v>128829</v>
      </c>
      <c r="E37" s="183">
        <f t="shared" ref="E37:M37" si="8">SUM(E6:E36)</f>
        <v>388648496.35500002</v>
      </c>
      <c r="F37" s="183">
        <f t="shared" si="8"/>
        <v>243519456.30862078</v>
      </c>
      <c r="G37" s="183">
        <f t="shared" si="8"/>
        <v>53378191.699738882</v>
      </c>
      <c r="H37" s="183">
        <f t="shared" si="8"/>
        <v>4234519.4841033118</v>
      </c>
      <c r="I37" s="183">
        <f t="shared" si="8"/>
        <v>3336460.4476985168</v>
      </c>
      <c r="J37" s="12">
        <f t="shared" si="8"/>
        <v>693117124.2951616</v>
      </c>
      <c r="K37" s="7">
        <f t="shared" si="8"/>
        <v>0.99999999999999989</v>
      </c>
      <c r="L37" s="65">
        <f t="shared" si="8"/>
        <v>538498474</v>
      </c>
      <c r="M37" s="51">
        <f t="shared" si="8"/>
        <v>1</v>
      </c>
      <c r="N37" s="5">
        <f t="shared" ref="N37:R37" si="9">SUM(N6:N36)</f>
        <v>285540018.99999994</v>
      </c>
      <c r="O37" s="56">
        <f t="shared" si="9"/>
        <v>285540019</v>
      </c>
      <c r="P37" s="56">
        <f t="shared" si="9"/>
        <v>571080038</v>
      </c>
      <c r="Q37" s="7">
        <f>SUM(Q6:Q36)</f>
        <v>0.99999999999999978</v>
      </c>
      <c r="R37" s="5">
        <f t="shared" si="9"/>
        <v>32581563.99999997</v>
      </c>
      <c r="S37" s="209">
        <f>R37/L37</f>
        <v>6.0504468579051111E-2</v>
      </c>
      <c r="U37" s="208">
        <f t="shared" ref="U37:W37" si="10">SUM(U6:U36)</f>
        <v>64451933.271662243</v>
      </c>
      <c r="V37" s="208">
        <f t="shared" si="10"/>
        <v>9601009</v>
      </c>
      <c r="W37" s="208">
        <f t="shared" si="10"/>
        <v>3000000</v>
      </c>
    </row>
    <row r="38" spans="1:23" ht="18.75" customHeight="1" x14ac:dyDescent="0.2">
      <c r="B38" s="16" t="s">
        <v>329</v>
      </c>
      <c r="C38" s="4"/>
      <c r="D38" s="183"/>
      <c r="E38" s="183"/>
      <c r="F38" s="183"/>
      <c r="G38" s="183"/>
      <c r="H38" s="183"/>
      <c r="I38" s="183"/>
      <c r="J38" s="12"/>
      <c r="K38" s="7"/>
      <c r="L38" s="70"/>
      <c r="M38" s="51"/>
      <c r="N38" s="5"/>
      <c r="O38" s="56"/>
      <c r="P38" s="56"/>
      <c r="Q38" s="7"/>
      <c r="R38" s="5"/>
    </row>
    <row r="39" spans="1:23" ht="21" hidden="1" customHeight="1" x14ac:dyDescent="0.2">
      <c r="B39" s="16" t="s">
        <v>295</v>
      </c>
      <c r="E39" s="212"/>
      <c r="F39" s="212"/>
      <c r="G39" s="212"/>
      <c r="H39" s="212"/>
      <c r="I39" s="212"/>
      <c r="N39" s="24"/>
      <c r="O39" s="104">
        <f>(O41)/2</f>
        <v>285540019</v>
      </c>
      <c r="P39" s="43"/>
      <c r="Q39" s="57"/>
      <c r="R39" s="24"/>
    </row>
    <row r="40" spans="1:23" ht="12" hidden="1" customHeight="1" x14ac:dyDescent="0.2">
      <c r="B40" s="493"/>
      <c r="C40" s="494"/>
      <c r="L40" s="87"/>
      <c r="N40" s="15"/>
      <c r="P40" s="43"/>
      <c r="Q40" s="54"/>
      <c r="R40" s="298"/>
      <c r="S40" s="406">
        <f>AVERAGE(S6:S35)</f>
        <v>6.6030880821827675E-2</v>
      </c>
    </row>
    <row r="41" spans="1:23" hidden="1" x14ac:dyDescent="0.2">
      <c r="J41" s="194"/>
      <c r="N41" s="172" t="s">
        <v>127</v>
      </c>
      <c r="O41" s="490">
        <f>540320038+30760000</f>
        <v>571080038</v>
      </c>
      <c r="R41" s="11"/>
    </row>
    <row r="42" spans="1:23" x14ac:dyDescent="0.2">
      <c r="R42" s="11"/>
      <c r="S42" s="305"/>
    </row>
    <row r="43" spans="1:23" x14ac:dyDescent="0.2">
      <c r="J43" s="176"/>
      <c r="N43" s="207"/>
      <c r="O43" s="57"/>
      <c r="R43" s="11"/>
      <c r="S43" s="305"/>
    </row>
    <row r="44" spans="1:23" x14ac:dyDescent="0.2">
      <c r="O44" s="166"/>
      <c r="Q44" s="24"/>
      <c r="R44" s="11"/>
      <c r="S44" s="305"/>
    </row>
    <row r="45" spans="1:23" x14ac:dyDescent="0.2">
      <c r="P45" s="134"/>
      <c r="R45" s="11"/>
      <c r="S45" s="305"/>
    </row>
    <row r="46" spans="1:23" x14ac:dyDescent="0.2">
      <c r="O46" s="55"/>
      <c r="P46" s="134"/>
      <c r="R46" s="11"/>
      <c r="S46" s="305"/>
    </row>
    <row r="47" spans="1:23" x14ac:dyDescent="0.2">
      <c r="R47" s="11"/>
      <c r="S47" s="305"/>
    </row>
    <row r="48" spans="1:23" x14ac:dyDescent="0.2">
      <c r="P48" s="57"/>
    </row>
    <row r="51" spans="16:23" x14ac:dyDescent="0.2">
      <c r="P51" s="153"/>
    </row>
    <row r="58" spans="16:23" x14ac:dyDescent="0.2">
      <c r="P58" s="57"/>
      <c r="Q58" s="24"/>
      <c r="R58" s="24"/>
      <c r="U58" s="176"/>
      <c r="W58" s="176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>&amp;C&amp;"Arial,Bold"Minnesota State
FY2020 COLLEGE/UNIVERSITY ALLOCATION
(FRAMEWORK BASED ON FY2018 DATA)
&amp;RSP-6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9"/>
  <sheetViews>
    <sheetView topLeftCell="A16" zoomScale="80" zoomScaleNormal="80" workbookViewId="0">
      <selection activeCell="F11" sqref="F11"/>
    </sheetView>
  </sheetViews>
  <sheetFormatPr defaultRowHeight="15" customHeight="1" x14ac:dyDescent="0.2"/>
  <cols>
    <col min="1" max="1" width="7.28515625" style="64" customWidth="1"/>
    <col min="2" max="2" width="31.7109375" style="64" customWidth="1"/>
    <col min="3" max="3" width="16.140625" style="54" customWidth="1"/>
    <col min="4" max="5" width="12.7109375" style="55" customWidth="1"/>
    <col min="6" max="6" width="12.5703125" style="55" customWidth="1"/>
    <col min="7" max="7" width="13" style="55" customWidth="1"/>
    <col min="8" max="8" width="11" style="55" customWidth="1"/>
    <col min="9" max="9" width="10.42578125" style="55" customWidth="1"/>
    <col min="10" max="10" width="12.85546875" style="72" customWidth="1"/>
    <col min="11" max="12" width="15.85546875" style="54" customWidth="1"/>
    <col min="13" max="13" width="13.7109375" style="54" customWidth="1"/>
    <col min="14" max="14" width="11.28515625" style="64" bestFit="1" customWidth="1"/>
    <col min="15" max="15" width="12.28515625" style="64" hidden="1" customWidth="1"/>
    <col min="16" max="16384" width="9.140625" style="64"/>
  </cols>
  <sheetData>
    <row r="1" spans="1:15" ht="15" customHeight="1" x14ac:dyDescent="0.25">
      <c r="A1" s="71" t="s">
        <v>72</v>
      </c>
      <c r="M1" s="87" t="s">
        <v>284</v>
      </c>
    </row>
    <row r="2" spans="1:15" ht="15" customHeight="1" x14ac:dyDescent="0.2">
      <c r="A2" s="73" t="s">
        <v>73</v>
      </c>
      <c r="H2" s="56"/>
    </row>
    <row r="3" spans="1:15" ht="15" customHeight="1" x14ac:dyDescent="0.2">
      <c r="A3" s="74" t="s">
        <v>326</v>
      </c>
    </row>
    <row r="4" spans="1:15" s="75" customFormat="1" ht="15" customHeight="1" x14ac:dyDescent="0.2">
      <c r="C4" s="103"/>
      <c r="D4" s="89" t="s">
        <v>74</v>
      </c>
      <c r="E4" s="89" t="s">
        <v>75</v>
      </c>
      <c r="F4" s="89" t="s">
        <v>76</v>
      </c>
      <c r="G4" s="89" t="s">
        <v>77</v>
      </c>
      <c r="H4" s="89" t="s">
        <v>78</v>
      </c>
      <c r="I4" s="89" t="s">
        <v>81</v>
      </c>
      <c r="J4" s="76" t="s">
        <v>323</v>
      </c>
      <c r="K4" s="103" t="s">
        <v>324</v>
      </c>
      <c r="L4" s="103"/>
      <c r="M4" s="103" t="s">
        <v>325</v>
      </c>
    </row>
    <row r="5" spans="1:15" ht="27.75" customHeight="1" x14ac:dyDescent="0.2">
      <c r="B5" s="77"/>
      <c r="C5" s="103" t="s">
        <v>79</v>
      </c>
      <c r="D5" s="485"/>
      <c r="E5" s="481" t="s">
        <v>121</v>
      </c>
      <c r="F5" s="184"/>
      <c r="G5" s="185" t="s">
        <v>80</v>
      </c>
      <c r="H5" s="184" t="s">
        <v>121</v>
      </c>
      <c r="I5" s="186" t="s">
        <v>121</v>
      </c>
      <c r="J5" s="76" t="s">
        <v>82</v>
      </c>
      <c r="K5" s="103" t="s">
        <v>111</v>
      </c>
      <c r="L5" s="103" t="s">
        <v>123</v>
      </c>
      <c r="M5" s="103" t="s">
        <v>99</v>
      </c>
    </row>
    <row r="6" spans="1:15" s="81" customFormat="1" ht="90" customHeight="1" x14ac:dyDescent="0.2">
      <c r="A6" s="78" t="s">
        <v>0</v>
      </c>
      <c r="B6" s="79" t="s">
        <v>83</v>
      </c>
      <c r="C6" s="136" t="s">
        <v>310</v>
      </c>
      <c r="D6" s="486" t="s">
        <v>319</v>
      </c>
      <c r="E6" s="105" t="s">
        <v>320</v>
      </c>
      <c r="F6" s="187" t="s">
        <v>84</v>
      </c>
      <c r="G6" s="187" t="s">
        <v>85</v>
      </c>
      <c r="H6" s="105" t="s">
        <v>321</v>
      </c>
      <c r="I6" s="105" t="s">
        <v>322</v>
      </c>
      <c r="J6" s="80" t="s">
        <v>86</v>
      </c>
      <c r="K6" s="393" t="s">
        <v>308</v>
      </c>
      <c r="L6" s="393" t="s">
        <v>309</v>
      </c>
      <c r="M6" s="393" t="s">
        <v>142</v>
      </c>
    </row>
    <row r="7" spans="1:15" ht="15" customHeight="1" x14ac:dyDescent="0.2">
      <c r="B7" s="82"/>
      <c r="C7" s="132"/>
      <c r="D7" s="487"/>
      <c r="E7" s="188"/>
      <c r="F7" s="189"/>
      <c r="G7" s="189"/>
    </row>
    <row r="8" spans="1:15" ht="15" customHeight="1" x14ac:dyDescent="0.2">
      <c r="A8" s="83" t="s">
        <v>2</v>
      </c>
      <c r="B8" s="3" t="s">
        <v>128</v>
      </c>
      <c r="C8" s="133">
        <f>118100+6635392</f>
        <v>6753492</v>
      </c>
      <c r="D8" s="480">
        <v>-1962</v>
      </c>
      <c r="E8" s="92">
        <v>-248852</v>
      </c>
      <c r="F8" s="457"/>
      <c r="G8" s="131"/>
      <c r="H8" s="92"/>
      <c r="I8" s="92"/>
      <c r="J8" s="69">
        <f t="shared" ref="J8:J13" si="0">SUM(D8:I8)</f>
        <v>-250814</v>
      </c>
      <c r="K8" s="304">
        <f t="shared" ref="K8:K12" si="1">+C8+J8</f>
        <v>6502678</v>
      </c>
      <c r="L8" s="304">
        <v>6406633</v>
      </c>
      <c r="M8" s="304">
        <f>AVERAGE(K8:L8)</f>
        <v>6454655.5</v>
      </c>
      <c r="N8" s="72"/>
      <c r="O8" s="482">
        <v>6707251</v>
      </c>
    </row>
    <row r="9" spans="1:15" s="54" customFormat="1" ht="15" customHeight="1" x14ac:dyDescent="0.2">
      <c r="A9" s="10" t="s">
        <v>4</v>
      </c>
      <c r="B9" s="3" t="s">
        <v>124</v>
      </c>
      <c r="C9" s="133">
        <f>431516+17728962</f>
        <v>18160478</v>
      </c>
      <c r="D9" s="480">
        <v>129910</v>
      </c>
      <c r="E9" s="92">
        <v>359607</v>
      </c>
      <c r="F9" s="457"/>
      <c r="G9" s="131"/>
      <c r="H9" s="131"/>
      <c r="I9" s="131"/>
      <c r="J9" s="69">
        <f t="shared" si="0"/>
        <v>489517</v>
      </c>
      <c r="K9" s="304">
        <f t="shared" si="1"/>
        <v>18649995</v>
      </c>
      <c r="L9" s="304">
        <v>17374803</v>
      </c>
      <c r="M9" s="304">
        <f t="shared" ref="M9:M37" si="2">AVERAGE(K9:L9)</f>
        <v>18012399</v>
      </c>
      <c r="N9" s="72"/>
      <c r="O9" s="482">
        <v>16915998</v>
      </c>
    </row>
    <row r="10" spans="1:15" ht="15" customHeight="1" x14ac:dyDescent="0.2">
      <c r="A10" s="83" t="s">
        <v>5</v>
      </c>
      <c r="B10" s="3" t="s">
        <v>113</v>
      </c>
      <c r="C10" s="133">
        <f>75474+5696482+6683107+799498</f>
        <v>13254561</v>
      </c>
      <c r="D10" s="480">
        <v>-246</v>
      </c>
      <c r="E10" s="92">
        <v>707838</v>
      </c>
      <c r="F10" s="457"/>
      <c r="G10" s="190">
        <v>316133</v>
      </c>
      <c r="H10" s="190">
        <v>225250</v>
      </c>
      <c r="I10" s="190">
        <v>36803</v>
      </c>
      <c r="J10" s="69">
        <f t="shared" si="0"/>
        <v>1285778</v>
      </c>
      <c r="K10" s="304">
        <f>+C10+J10</f>
        <v>14540339</v>
      </c>
      <c r="L10" s="304">
        <v>13856127.99</v>
      </c>
      <c r="M10" s="304">
        <f t="shared" si="2"/>
        <v>14198233.495000001</v>
      </c>
      <c r="N10" s="72"/>
      <c r="O10" s="482">
        <v>13134705</v>
      </c>
    </row>
    <row r="11" spans="1:15" ht="15" customHeight="1" x14ac:dyDescent="0.2">
      <c r="A11" s="83" t="s">
        <v>6</v>
      </c>
      <c r="B11" s="3" t="s">
        <v>7</v>
      </c>
      <c r="C11" s="133">
        <f>720754+7620678</f>
        <v>8341432</v>
      </c>
      <c r="D11" s="480">
        <v>3758</v>
      </c>
      <c r="E11" s="92">
        <v>-686456</v>
      </c>
      <c r="F11" s="491">
        <v>36353</v>
      </c>
      <c r="G11" s="131"/>
      <c r="H11" s="92"/>
      <c r="I11" s="92"/>
      <c r="J11" s="69">
        <f t="shared" si="0"/>
        <v>-646345</v>
      </c>
      <c r="K11" s="304">
        <f t="shared" si="1"/>
        <v>7695087</v>
      </c>
      <c r="L11" s="304">
        <v>7958110</v>
      </c>
      <c r="M11" s="304">
        <f t="shared" si="2"/>
        <v>7826598.5</v>
      </c>
      <c r="N11" s="72"/>
      <c r="O11" s="483">
        <v>8654904</v>
      </c>
    </row>
    <row r="12" spans="1:15" ht="15" customHeight="1" x14ac:dyDescent="0.2">
      <c r="A12" s="83" t="s">
        <v>8</v>
      </c>
      <c r="B12" s="3" t="s">
        <v>9</v>
      </c>
      <c r="C12" s="133">
        <f>69085+16262680</f>
        <v>16331765</v>
      </c>
      <c r="D12" s="480">
        <v>20561</v>
      </c>
      <c r="E12" s="92">
        <v>754346</v>
      </c>
      <c r="F12" s="457"/>
      <c r="G12" s="131"/>
      <c r="H12" s="92"/>
      <c r="I12" s="92"/>
      <c r="J12" s="69">
        <f t="shared" si="0"/>
        <v>774907</v>
      </c>
      <c r="K12" s="304">
        <f t="shared" si="1"/>
        <v>17106672</v>
      </c>
      <c r="L12" s="304">
        <v>15754423</v>
      </c>
      <c r="M12" s="304">
        <f t="shared" si="2"/>
        <v>16430547.5</v>
      </c>
      <c r="N12" s="72"/>
      <c r="O12" s="482">
        <v>15356208</v>
      </c>
    </row>
    <row r="13" spans="1:15" ht="15" customHeight="1" x14ac:dyDescent="0.2">
      <c r="A13" s="83" t="s">
        <v>10</v>
      </c>
      <c r="B13" s="3" t="s">
        <v>146</v>
      </c>
      <c r="C13" s="133">
        <f>89542+15917362</f>
        <v>16006904</v>
      </c>
      <c r="D13" s="480">
        <v>-50464</v>
      </c>
      <c r="E13" s="92">
        <v>-215839</v>
      </c>
      <c r="F13" s="457"/>
      <c r="G13" s="131"/>
      <c r="H13" s="92"/>
      <c r="I13" s="92"/>
      <c r="J13" s="69">
        <f t="shared" si="0"/>
        <v>-266303</v>
      </c>
      <c r="K13" s="304">
        <f t="shared" ref="K13:K37" si="3">+C13+J13</f>
        <v>15740601</v>
      </c>
      <c r="L13" s="304">
        <v>14913687</v>
      </c>
      <c r="M13" s="304">
        <f t="shared" si="2"/>
        <v>15327144</v>
      </c>
      <c r="N13" s="72"/>
      <c r="O13" s="482">
        <v>15167674</v>
      </c>
    </row>
    <row r="14" spans="1:15" ht="15" customHeight="1" x14ac:dyDescent="0.2">
      <c r="A14" s="83" t="s">
        <v>12</v>
      </c>
      <c r="B14" s="3" t="s">
        <v>13</v>
      </c>
      <c r="C14" s="133">
        <f>437050+2716983</f>
        <v>3154033</v>
      </c>
      <c r="D14" s="480">
        <v>-1809</v>
      </c>
      <c r="E14" s="92">
        <v>-641213</v>
      </c>
      <c r="F14" s="457"/>
      <c r="G14" s="131"/>
      <c r="H14" s="92"/>
      <c r="I14" s="92"/>
      <c r="J14" s="69">
        <f t="shared" ref="J14:J37" si="4">SUM(D14:I14)</f>
        <v>-643022</v>
      </c>
      <c r="K14" s="304">
        <f t="shared" si="3"/>
        <v>2511011</v>
      </c>
      <c r="L14" s="304">
        <v>2908122</v>
      </c>
      <c r="M14" s="304">
        <f t="shared" si="2"/>
        <v>2709566.5</v>
      </c>
      <c r="N14" s="72"/>
      <c r="O14" s="482">
        <v>3007552</v>
      </c>
    </row>
    <row r="15" spans="1:15" ht="15" customHeight="1" x14ac:dyDescent="0.2">
      <c r="A15" s="83" t="s">
        <v>14</v>
      </c>
      <c r="B15" s="3" t="s">
        <v>139</v>
      </c>
      <c r="C15" s="133">
        <f>66580+12945708</f>
        <v>13012288</v>
      </c>
      <c r="D15" s="480">
        <v>13122</v>
      </c>
      <c r="E15" s="92">
        <v>-468534</v>
      </c>
      <c r="F15" s="457"/>
      <c r="G15" s="131"/>
      <c r="H15" s="92"/>
      <c r="I15" s="92"/>
      <c r="J15" s="69">
        <f>SUM(D15:I15)</f>
        <v>-455412</v>
      </c>
      <c r="K15" s="304">
        <f t="shared" si="3"/>
        <v>12556876</v>
      </c>
      <c r="L15" s="304">
        <v>12124647</v>
      </c>
      <c r="M15" s="304">
        <f t="shared" si="2"/>
        <v>12340761.5</v>
      </c>
      <c r="N15" s="72"/>
      <c r="O15" s="482">
        <v>12599451</v>
      </c>
    </row>
    <row r="16" spans="1:15" ht="15" customHeight="1" x14ac:dyDescent="0.2">
      <c r="A16" s="83" t="s">
        <v>16</v>
      </c>
      <c r="B16" s="3" t="s">
        <v>17</v>
      </c>
      <c r="C16" s="133">
        <f>277875+9899083</f>
        <v>10176958</v>
      </c>
      <c r="D16" s="480">
        <v>14217</v>
      </c>
      <c r="E16" s="92">
        <v>-81981</v>
      </c>
      <c r="F16" s="457"/>
      <c r="G16" s="131"/>
      <c r="H16" s="92"/>
      <c r="I16" s="92"/>
      <c r="J16" s="69">
        <f>SUM(D16:I16)</f>
        <v>-67764</v>
      </c>
      <c r="K16" s="304">
        <f t="shared" si="3"/>
        <v>10109194</v>
      </c>
      <c r="L16" s="304">
        <v>9442397</v>
      </c>
      <c r="M16" s="304">
        <f t="shared" si="2"/>
        <v>9775795.5</v>
      </c>
      <c r="N16" s="72"/>
      <c r="O16" s="482">
        <v>9109731</v>
      </c>
    </row>
    <row r="17" spans="1:15" ht="15" customHeight="1" x14ac:dyDescent="0.2">
      <c r="A17" s="83" t="s">
        <v>18</v>
      </c>
      <c r="B17" s="3" t="s">
        <v>140</v>
      </c>
      <c r="C17" s="133">
        <f>3736707+12765417+2404822+239203</f>
        <v>19146149</v>
      </c>
      <c r="D17" s="480"/>
      <c r="E17" s="92">
        <v>60212</v>
      </c>
      <c r="F17" s="457"/>
      <c r="G17" s="190">
        <v>216234</v>
      </c>
      <c r="H17" s="190">
        <v>417562</v>
      </c>
      <c r="I17" s="190">
        <f>-121317-19203</f>
        <v>-140520</v>
      </c>
      <c r="J17" s="69">
        <f>SUM(D17:I17)</f>
        <v>553488</v>
      </c>
      <c r="K17" s="304">
        <f t="shared" si="3"/>
        <v>19699637</v>
      </c>
      <c r="L17" s="304">
        <v>18753432.460000001</v>
      </c>
      <c r="M17" s="304">
        <f t="shared" si="2"/>
        <v>19226534.73</v>
      </c>
      <c r="N17" s="72"/>
      <c r="O17" s="482">
        <v>17712454</v>
      </c>
    </row>
    <row r="18" spans="1:15" ht="15" customHeight="1" x14ac:dyDescent="0.2">
      <c r="A18" s="83" t="s">
        <v>19</v>
      </c>
      <c r="B18" s="3" t="s">
        <v>129</v>
      </c>
      <c r="C18" s="133">
        <f>71465+14748329</f>
        <v>14819794</v>
      </c>
      <c r="D18" s="480">
        <v>-5346</v>
      </c>
      <c r="E18" s="92">
        <v>-682479</v>
      </c>
      <c r="F18" s="457"/>
      <c r="G18" s="131"/>
      <c r="H18" s="131"/>
      <c r="I18" s="92"/>
      <c r="J18" s="69">
        <f>SUM(D18:I18)</f>
        <v>-687825</v>
      </c>
      <c r="K18" s="304">
        <f t="shared" si="3"/>
        <v>14131969</v>
      </c>
      <c r="L18" s="304">
        <v>13299521</v>
      </c>
      <c r="M18" s="304">
        <f t="shared" si="2"/>
        <v>13715745</v>
      </c>
      <c r="N18" s="72"/>
      <c r="O18" s="482">
        <v>13279690</v>
      </c>
    </row>
    <row r="19" spans="1:15" ht="15" customHeight="1" x14ac:dyDescent="0.2">
      <c r="A19" s="83" t="s">
        <v>21</v>
      </c>
      <c r="B19" s="121" t="s">
        <v>177</v>
      </c>
      <c r="C19" s="135">
        <f>71170+5644753</f>
        <v>5715923</v>
      </c>
      <c r="D19" s="480">
        <v>-12748</v>
      </c>
      <c r="E19" s="92">
        <v>-1180056</v>
      </c>
      <c r="F19" s="457"/>
      <c r="G19" s="131"/>
      <c r="H19" s="92"/>
      <c r="I19" s="92"/>
      <c r="J19" s="69">
        <f>SUM(D19:I19)</f>
        <v>-1192804</v>
      </c>
      <c r="K19" s="304">
        <f t="shared" si="3"/>
        <v>4523119</v>
      </c>
      <c r="L19" s="304">
        <v>4548595</v>
      </c>
      <c r="M19" s="304">
        <f t="shared" si="2"/>
        <v>4535857</v>
      </c>
      <c r="N19" s="72"/>
      <c r="O19" s="484">
        <v>5610874</v>
      </c>
    </row>
    <row r="20" spans="1:15" ht="15" customHeight="1" x14ac:dyDescent="0.2">
      <c r="A20" s="84" t="s">
        <v>109</v>
      </c>
      <c r="B20" s="3" t="s">
        <v>141</v>
      </c>
      <c r="C20" s="133">
        <f>619391+12363236</f>
        <v>12982627</v>
      </c>
      <c r="D20" s="480">
        <v>-4060</v>
      </c>
      <c r="E20" s="92">
        <v>-461969</v>
      </c>
      <c r="F20" s="457"/>
      <c r="G20" s="131"/>
      <c r="H20" s="92"/>
      <c r="I20" s="92"/>
      <c r="J20" s="69">
        <f t="shared" si="4"/>
        <v>-466029</v>
      </c>
      <c r="K20" s="304">
        <f t="shared" si="3"/>
        <v>12516598</v>
      </c>
      <c r="L20" s="304">
        <v>12420166</v>
      </c>
      <c r="M20" s="304">
        <f t="shared" si="2"/>
        <v>12468382</v>
      </c>
      <c r="N20" s="72"/>
      <c r="O20" s="482">
        <v>12710289</v>
      </c>
    </row>
    <row r="21" spans="1:15" ht="15" customHeight="1" x14ac:dyDescent="0.2">
      <c r="A21" s="83" t="s">
        <v>26</v>
      </c>
      <c r="B21" s="3" t="s">
        <v>62</v>
      </c>
      <c r="C21" s="133">
        <f>7258077+8801419+2298780</f>
        <v>18358276</v>
      </c>
      <c r="D21" s="480"/>
      <c r="E21" s="92">
        <v>-1081630</v>
      </c>
      <c r="F21" s="457"/>
      <c r="G21" s="190">
        <v>575532</v>
      </c>
      <c r="H21" s="190">
        <v>-75382</v>
      </c>
      <c r="I21" s="190">
        <v>52399</v>
      </c>
      <c r="J21" s="69">
        <f t="shared" si="4"/>
        <v>-529081</v>
      </c>
      <c r="K21" s="304">
        <f t="shared" si="3"/>
        <v>17829195</v>
      </c>
      <c r="L21" s="304">
        <v>16837608.449999999</v>
      </c>
      <c r="M21" s="304">
        <f t="shared" si="2"/>
        <v>17333401.725000001</v>
      </c>
      <c r="N21" s="72"/>
      <c r="O21" s="482">
        <v>17615627</v>
      </c>
    </row>
    <row r="22" spans="1:15" ht="15" customHeight="1" x14ac:dyDescent="0.2">
      <c r="A22" s="83" t="s">
        <v>22</v>
      </c>
      <c r="B22" s="3" t="s">
        <v>23</v>
      </c>
      <c r="C22" s="133">
        <f>116803+14062515+15699529+5347336+279418</f>
        <v>35505601</v>
      </c>
      <c r="D22" s="480">
        <v>25006</v>
      </c>
      <c r="E22" s="92">
        <v>3735941</v>
      </c>
      <c r="F22" s="457"/>
      <c r="G22" s="190">
        <v>984559</v>
      </c>
      <c r="H22" s="190">
        <v>-19411</v>
      </c>
      <c r="I22" s="190">
        <f>-22284-21234</f>
        <v>-43518</v>
      </c>
      <c r="J22" s="69">
        <f t="shared" si="4"/>
        <v>4682577</v>
      </c>
      <c r="K22" s="304">
        <f t="shared" si="3"/>
        <v>40188178</v>
      </c>
      <c r="L22" s="304">
        <v>37910341.689999998</v>
      </c>
      <c r="M22" s="304">
        <f t="shared" si="2"/>
        <v>39049259.844999999</v>
      </c>
      <c r="N22" s="72"/>
      <c r="O22" s="482">
        <v>34193471</v>
      </c>
    </row>
    <row r="23" spans="1:15" ht="15" customHeight="1" x14ac:dyDescent="0.2">
      <c r="A23" s="83" t="s">
        <v>24</v>
      </c>
      <c r="B23" s="3" t="s">
        <v>137</v>
      </c>
      <c r="C23" s="133">
        <f>152495+7138900</f>
        <v>7291395</v>
      </c>
      <c r="D23" s="480">
        <v>8083</v>
      </c>
      <c r="E23" s="92">
        <v>-224141</v>
      </c>
      <c r="F23" s="458">
        <v>53388</v>
      </c>
      <c r="G23" s="131"/>
      <c r="H23" s="92"/>
      <c r="I23" s="92"/>
      <c r="J23" s="69">
        <f t="shared" si="4"/>
        <v>-162670</v>
      </c>
      <c r="K23" s="304">
        <f t="shared" si="3"/>
        <v>7128725</v>
      </c>
      <c r="L23" s="304">
        <v>6628706</v>
      </c>
      <c r="M23" s="304">
        <f t="shared" si="2"/>
        <v>6878715.5</v>
      </c>
      <c r="N23" s="72"/>
      <c r="O23" s="482">
        <v>6338812</v>
      </c>
    </row>
    <row r="24" spans="1:15" ht="15" customHeight="1" x14ac:dyDescent="0.2">
      <c r="A24" s="83" t="s">
        <v>27</v>
      </c>
      <c r="B24" s="3" t="s">
        <v>132</v>
      </c>
      <c r="C24" s="133">
        <f>188625+16739445</f>
        <v>16928070</v>
      </c>
      <c r="D24" s="480">
        <v>-903</v>
      </c>
      <c r="E24" s="92">
        <v>507778</v>
      </c>
      <c r="F24" s="457"/>
      <c r="G24" s="131"/>
      <c r="H24" s="131"/>
      <c r="I24" s="92"/>
      <c r="J24" s="69">
        <f t="shared" si="4"/>
        <v>506875</v>
      </c>
      <c r="K24" s="304">
        <f t="shared" si="3"/>
        <v>17434945</v>
      </c>
      <c r="L24" s="304">
        <v>15731672</v>
      </c>
      <c r="M24" s="304">
        <f t="shared" si="2"/>
        <v>16583308.5</v>
      </c>
      <c r="N24" s="72"/>
      <c r="O24" s="482">
        <v>14857043</v>
      </c>
    </row>
    <row r="25" spans="1:15" ht="15" customHeight="1" x14ac:dyDescent="0.2">
      <c r="A25" s="83" t="s">
        <v>29</v>
      </c>
      <c r="B25" s="3" t="s">
        <v>133</v>
      </c>
      <c r="C25" s="133">
        <f>145059+11582068</f>
        <v>11727127</v>
      </c>
      <c r="D25" s="480">
        <v>-51780</v>
      </c>
      <c r="E25" s="92">
        <v>-170484</v>
      </c>
      <c r="F25" s="457"/>
      <c r="G25" s="131"/>
      <c r="H25" s="92"/>
      <c r="I25" s="92"/>
      <c r="J25" s="69">
        <f t="shared" si="4"/>
        <v>-222264</v>
      </c>
      <c r="K25" s="304">
        <f t="shared" si="3"/>
        <v>11504863</v>
      </c>
      <c r="L25" s="304">
        <v>10715952</v>
      </c>
      <c r="M25" s="304">
        <f t="shared" si="2"/>
        <v>11110407.5</v>
      </c>
      <c r="N25" s="72"/>
      <c r="O25" s="482">
        <v>11149605</v>
      </c>
    </row>
    <row r="26" spans="1:15" ht="15" customHeight="1" x14ac:dyDescent="0.2">
      <c r="A26" s="84" t="s">
        <v>118</v>
      </c>
      <c r="B26" s="3" t="s">
        <v>63</v>
      </c>
      <c r="C26" s="133">
        <f>402379+10395278</f>
        <v>10797657</v>
      </c>
      <c r="D26" s="480">
        <v>-15908</v>
      </c>
      <c r="E26" s="92">
        <v>-385726</v>
      </c>
      <c r="F26" s="457"/>
      <c r="G26" s="131"/>
      <c r="H26" s="92"/>
      <c r="I26" s="92"/>
      <c r="J26" s="69">
        <f t="shared" si="4"/>
        <v>-401634</v>
      </c>
      <c r="K26" s="304">
        <f t="shared" si="3"/>
        <v>10396023</v>
      </c>
      <c r="L26" s="304">
        <v>10638342</v>
      </c>
      <c r="M26" s="304">
        <f t="shared" si="2"/>
        <v>10517182.5</v>
      </c>
      <c r="N26" s="72"/>
      <c r="O26" s="482">
        <v>11670269</v>
      </c>
    </row>
    <row r="27" spans="1:15" ht="15" customHeight="1" x14ac:dyDescent="0.2">
      <c r="A27" s="83" t="s">
        <v>31</v>
      </c>
      <c r="B27" s="3" t="s">
        <v>134</v>
      </c>
      <c r="C27" s="133">
        <f>148829+7767004</f>
        <v>7915833</v>
      </c>
      <c r="D27" s="480">
        <v>-34458</v>
      </c>
      <c r="E27" s="92">
        <v>-967899</v>
      </c>
      <c r="F27" s="458">
        <v>59404</v>
      </c>
      <c r="G27" s="131"/>
      <c r="H27" s="92"/>
      <c r="I27" s="92"/>
      <c r="J27" s="69">
        <f t="shared" si="4"/>
        <v>-942953</v>
      </c>
      <c r="K27" s="304">
        <f t="shared" si="3"/>
        <v>6972880</v>
      </c>
      <c r="L27" s="304">
        <v>7137461</v>
      </c>
      <c r="M27" s="304">
        <f t="shared" si="2"/>
        <v>7055170.5</v>
      </c>
      <c r="N27" s="72"/>
      <c r="O27" s="482">
        <v>7920492</v>
      </c>
    </row>
    <row r="28" spans="1:15" ht="15" customHeight="1" x14ac:dyDescent="0.2">
      <c r="A28" s="83" t="s">
        <v>33</v>
      </c>
      <c r="B28" s="3" t="s">
        <v>130</v>
      </c>
      <c r="C28" s="133">
        <f>279424+2318211</f>
        <v>2597635</v>
      </c>
      <c r="D28" s="480">
        <v>-25722</v>
      </c>
      <c r="E28" s="92">
        <v>-223921</v>
      </c>
      <c r="F28" s="457"/>
      <c r="G28" s="131"/>
      <c r="H28" s="92"/>
      <c r="I28" s="92"/>
      <c r="J28" s="69">
        <f t="shared" si="4"/>
        <v>-249643</v>
      </c>
      <c r="K28" s="304">
        <f t="shared" si="3"/>
        <v>2347992</v>
      </c>
      <c r="L28" s="304">
        <v>2278801</v>
      </c>
      <c r="M28" s="304">
        <f t="shared" si="2"/>
        <v>2313396.5</v>
      </c>
      <c r="N28" s="72"/>
      <c r="O28" s="482">
        <v>2219612</v>
      </c>
    </row>
    <row r="29" spans="1:15" ht="15" customHeight="1" x14ac:dyDescent="0.2">
      <c r="A29" s="83" t="s">
        <v>35</v>
      </c>
      <c r="B29" s="3" t="s">
        <v>36</v>
      </c>
      <c r="C29" s="133">
        <f>49584+9558350</f>
        <v>9607934</v>
      </c>
      <c r="D29" s="480">
        <v>-19289</v>
      </c>
      <c r="E29" s="92">
        <v>-96482</v>
      </c>
      <c r="F29" s="458"/>
      <c r="G29" s="131"/>
      <c r="H29" s="92"/>
      <c r="I29" s="92"/>
      <c r="J29" s="69">
        <f t="shared" si="4"/>
        <v>-115771</v>
      </c>
      <c r="K29" s="304">
        <f t="shared" si="3"/>
        <v>9492163</v>
      </c>
      <c r="L29" s="304">
        <v>9074674</v>
      </c>
      <c r="M29" s="304">
        <f t="shared" si="2"/>
        <v>9283418.5</v>
      </c>
      <c r="N29" s="72"/>
      <c r="O29" s="482">
        <v>9478698</v>
      </c>
    </row>
    <row r="30" spans="1:15" ht="15" customHeight="1" x14ac:dyDescent="0.2">
      <c r="A30" s="83" t="s">
        <v>37</v>
      </c>
      <c r="B30" s="3" t="s">
        <v>131</v>
      </c>
      <c r="C30" s="133">
        <f>228170+6807216</f>
        <v>7035386</v>
      </c>
      <c r="D30" s="480">
        <v>2992</v>
      </c>
      <c r="E30" s="92">
        <v>-482209</v>
      </c>
      <c r="F30" s="459">
        <v>65527</v>
      </c>
      <c r="G30" s="131"/>
      <c r="H30" s="92"/>
      <c r="I30" s="92"/>
      <c r="J30" s="69">
        <f t="shared" si="4"/>
        <v>-413690</v>
      </c>
      <c r="K30" s="304">
        <f t="shared" si="3"/>
        <v>6621696</v>
      </c>
      <c r="L30" s="304">
        <v>6252404</v>
      </c>
      <c r="M30" s="304">
        <f t="shared" si="2"/>
        <v>6437050</v>
      </c>
      <c r="N30" s="72"/>
      <c r="O30" s="482">
        <v>6532845</v>
      </c>
    </row>
    <row r="31" spans="1:15" ht="15" customHeight="1" x14ac:dyDescent="0.2">
      <c r="A31" s="83" t="s">
        <v>39</v>
      </c>
      <c r="B31" s="3" t="s">
        <v>135</v>
      </c>
      <c r="C31" s="133">
        <f>19717+11879176</f>
        <v>11898893</v>
      </c>
      <c r="D31" s="480">
        <v>-2156</v>
      </c>
      <c r="E31" s="92">
        <v>-462318</v>
      </c>
      <c r="F31" s="166"/>
      <c r="G31" s="131"/>
      <c r="H31" s="92"/>
      <c r="I31" s="92"/>
      <c r="J31" s="69">
        <f t="shared" si="4"/>
        <v>-464474</v>
      </c>
      <c r="K31" s="304">
        <f t="shared" si="3"/>
        <v>11434419</v>
      </c>
      <c r="L31" s="304">
        <v>10677499</v>
      </c>
      <c r="M31" s="304">
        <f t="shared" si="2"/>
        <v>11055959</v>
      </c>
      <c r="N31" s="72"/>
      <c r="O31" s="482">
        <v>10920823</v>
      </c>
    </row>
    <row r="32" spans="1:15" ht="15" customHeight="1" x14ac:dyDescent="0.2">
      <c r="A32" s="83" t="s">
        <v>46</v>
      </c>
      <c r="B32" s="3" t="s">
        <v>70</v>
      </c>
      <c r="C32" s="133">
        <f>53481+11236416</f>
        <v>11289897</v>
      </c>
      <c r="D32" s="480">
        <v>19855</v>
      </c>
      <c r="E32" s="92">
        <v>1672618</v>
      </c>
      <c r="F32" s="459"/>
      <c r="G32" s="131"/>
      <c r="H32" s="131"/>
      <c r="I32" s="92"/>
      <c r="J32" s="69">
        <f t="shared" si="4"/>
        <v>1692473</v>
      </c>
      <c r="K32" s="304">
        <f t="shared" si="3"/>
        <v>12982370</v>
      </c>
      <c r="L32" s="304">
        <v>12076039</v>
      </c>
      <c r="M32" s="304">
        <f t="shared" si="2"/>
        <v>12529204.5</v>
      </c>
      <c r="N32" s="72"/>
      <c r="O32" s="482">
        <v>10305980</v>
      </c>
    </row>
    <row r="33" spans="1:15" ht="15" customHeight="1" x14ac:dyDescent="0.2">
      <c r="A33" s="83" t="s">
        <v>41</v>
      </c>
      <c r="B33" s="3" t="s">
        <v>117</v>
      </c>
      <c r="C33" s="133">
        <f>11209+8219261</f>
        <v>8230470</v>
      </c>
      <c r="D33" s="480">
        <v>-1361</v>
      </c>
      <c r="E33" s="92">
        <v>-385200</v>
      </c>
      <c r="F33" s="458">
        <v>21825</v>
      </c>
      <c r="G33" s="131"/>
      <c r="H33" s="92"/>
      <c r="I33" s="92"/>
      <c r="J33" s="69">
        <f t="shared" si="4"/>
        <v>-364736</v>
      </c>
      <c r="K33" s="304">
        <f t="shared" si="3"/>
        <v>7865734</v>
      </c>
      <c r="L33" s="304">
        <v>7471107</v>
      </c>
      <c r="M33" s="304">
        <f t="shared" si="2"/>
        <v>7668420.5</v>
      </c>
      <c r="N33" s="72"/>
      <c r="O33" s="482">
        <v>8209425</v>
      </c>
    </row>
    <row r="34" spans="1:15" ht="15" customHeight="1" x14ac:dyDescent="0.2">
      <c r="A34" s="83" t="s">
        <v>42</v>
      </c>
      <c r="B34" s="3" t="s">
        <v>69</v>
      </c>
      <c r="C34" s="133">
        <f>1359964+3341239+3801632+1244681</f>
        <v>9747516</v>
      </c>
      <c r="D34" s="480">
        <v>-8467</v>
      </c>
      <c r="E34" s="92">
        <v>-332335</v>
      </c>
      <c r="F34" s="459"/>
      <c r="G34" s="190">
        <v>299842</v>
      </c>
      <c r="H34" s="190">
        <v>-362173</v>
      </c>
      <c r="I34" s="190">
        <v>19927</v>
      </c>
      <c r="J34" s="69">
        <f t="shared" si="4"/>
        <v>-383206</v>
      </c>
      <c r="K34" s="304">
        <f>+C34+J34</f>
        <v>9364310</v>
      </c>
      <c r="L34" s="304">
        <v>10042406.73</v>
      </c>
      <c r="M34" s="304">
        <f t="shared" si="2"/>
        <v>9703358.3650000002</v>
      </c>
      <c r="N34" s="72"/>
      <c r="O34" s="482">
        <v>9083651</v>
      </c>
    </row>
    <row r="35" spans="1:15" ht="15" customHeight="1" x14ac:dyDescent="0.2">
      <c r="A35" s="83" t="s">
        <v>43</v>
      </c>
      <c r="B35" s="3" t="s">
        <v>44</v>
      </c>
      <c r="C35" s="133">
        <f>628303+15790363+14729638+4572013+211719</f>
        <v>35932036</v>
      </c>
      <c r="D35" s="480">
        <v>-9980</v>
      </c>
      <c r="E35" s="92">
        <v>-1665728</v>
      </c>
      <c r="F35" s="457"/>
      <c r="G35" s="190">
        <v>1314977</v>
      </c>
      <c r="H35" s="190">
        <v>-281235</v>
      </c>
      <c r="I35" s="190">
        <f>-11723+13298</f>
        <v>1575</v>
      </c>
      <c r="J35" s="69">
        <f t="shared" si="4"/>
        <v>-640391</v>
      </c>
      <c r="K35" s="304">
        <f t="shared" si="3"/>
        <v>35291645</v>
      </c>
      <c r="L35" s="304">
        <v>35426362.869999997</v>
      </c>
      <c r="M35" s="304">
        <f t="shared" si="2"/>
        <v>35359003.935000002</v>
      </c>
      <c r="N35" s="72"/>
      <c r="O35" s="482">
        <v>36588577</v>
      </c>
    </row>
    <row r="36" spans="1:15" ht="15" customHeight="1" x14ac:dyDescent="0.2">
      <c r="A36" s="83" t="s">
        <v>45</v>
      </c>
      <c r="B36" s="3" t="s">
        <v>136</v>
      </c>
      <c r="C36" s="133">
        <f>33517+9290014</f>
        <v>9323531</v>
      </c>
      <c r="D36" s="480">
        <v>-8764</v>
      </c>
      <c r="E36" s="92">
        <v>322822</v>
      </c>
      <c r="F36" s="457"/>
      <c r="G36" s="131"/>
      <c r="H36" s="92"/>
      <c r="I36" s="92"/>
      <c r="J36" s="69">
        <f t="shared" si="4"/>
        <v>314058</v>
      </c>
      <c r="K36" s="304">
        <f t="shared" si="3"/>
        <v>9637589</v>
      </c>
      <c r="L36" s="304">
        <v>9006553</v>
      </c>
      <c r="M36" s="304">
        <f t="shared" si="2"/>
        <v>9322071</v>
      </c>
      <c r="N36" s="72"/>
      <c r="O36" s="482">
        <v>8529724</v>
      </c>
    </row>
    <row r="37" spans="1:15" ht="15" customHeight="1" x14ac:dyDescent="0.2">
      <c r="A37" s="83" t="s">
        <v>47</v>
      </c>
      <c r="B37" s="3" t="s">
        <v>48</v>
      </c>
      <c r="C37" s="133">
        <f>9186528+12597655+1663801+236985</f>
        <v>23684969</v>
      </c>
      <c r="D37" s="480"/>
      <c r="E37" s="92">
        <v>258633</v>
      </c>
      <c r="F37" s="457"/>
      <c r="G37" s="190">
        <v>713633</v>
      </c>
      <c r="H37" s="190">
        <v>-546557</v>
      </c>
      <c r="I37" s="190">
        <f>-66909-7595</f>
        <v>-74504</v>
      </c>
      <c r="J37" s="69">
        <f t="shared" si="4"/>
        <v>351205</v>
      </c>
      <c r="K37" s="304">
        <f t="shared" si="3"/>
        <v>24036174</v>
      </c>
      <c r="L37" s="304">
        <v>22817721.52</v>
      </c>
      <c r="M37" s="304">
        <f t="shared" si="2"/>
        <v>23426947.759999998</v>
      </c>
      <c r="N37" s="72"/>
      <c r="O37" s="482">
        <v>23357141</v>
      </c>
    </row>
    <row r="39" spans="1:15" ht="15" customHeight="1" x14ac:dyDescent="0.2">
      <c r="B39" s="64" t="s">
        <v>49</v>
      </c>
      <c r="C39" s="55">
        <f t="shared" ref="C39:O39" si="5">SUM(C8:C38)</f>
        <v>395728630</v>
      </c>
      <c r="D39" s="55">
        <f t="shared" si="5"/>
        <v>-17919</v>
      </c>
      <c r="E39" s="55">
        <f t="shared" si="5"/>
        <v>-2765657</v>
      </c>
      <c r="F39" s="55">
        <f t="shared" si="5"/>
        <v>236497</v>
      </c>
      <c r="G39" s="55">
        <f t="shared" si="5"/>
        <v>4420910</v>
      </c>
      <c r="H39" s="55">
        <f t="shared" si="5"/>
        <v>-641946</v>
      </c>
      <c r="I39" s="55">
        <f t="shared" si="5"/>
        <v>-147838</v>
      </c>
      <c r="J39" s="72">
        <f t="shared" si="5"/>
        <v>1084047</v>
      </c>
      <c r="K39" s="52">
        <f t="shared" si="5"/>
        <v>396812677</v>
      </c>
      <c r="L39" s="52">
        <f t="shared" si="5"/>
        <v>380484315.71000004</v>
      </c>
      <c r="M39" s="52">
        <f t="shared" si="5"/>
        <v>388648496.35500002</v>
      </c>
      <c r="O39" s="55">
        <f t="shared" si="5"/>
        <v>378938576</v>
      </c>
    </row>
    <row r="40" spans="1:15" ht="12" customHeight="1" x14ac:dyDescent="0.2">
      <c r="C40" s="55"/>
      <c r="K40" s="52"/>
      <c r="L40" s="52"/>
      <c r="M40" s="52"/>
    </row>
    <row r="41" spans="1:15" ht="12" customHeight="1" x14ac:dyDescent="0.2">
      <c r="A41" s="16" t="s">
        <v>329</v>
      </c>
    </row>
    <row r="42" spans="1:15" ht="12" customHeight="1" x14ac:dyDescent="0.2">
      <c r="A42" s="85" t="str">
        <f>'FY2015 Detail'!B40</f>
        <v>s:\finance\bargain\FY20 allocation\Summary of FY2020 Institutional Allocation Draft</v>
      </c>
      <c r="E42" s="191"/>
      <c r="F42" s="191"/>
      <c r="G42" s="191"/>
      <c r="H42" s="191"/>
    </row>
    <row r="43" spans="1:15" ht="12" customHeight="1" x14ac:dyDescent="0.2">
      <c r="A43" s="85"/>
      <c r="E43" s="191"/>
      <c r="F43" s="191"/>
      <c r="G43" s="191"/>
      <c r="H43" s="191"/>
    </row>
    <row r="44" spans="1:15" ht="15" customHeight="1" x14ac:dyDescent="0.2">
      <c r="C44" s="52"/>
      <c r="E44" s="52"/>
      <c r="H44" s="192"/>
      <c r="K44" s="52"/>
      <c r="L44" s="52"/>
      <c r="M44" s="304"/>
    </row>
    <row r="47" spans="1:15" ht="15" customHeight="1" x14ac:dyDescent="0.2">
      <c r="E47" s="193"/>
      <c r="F47" s="193"/>
      <c r="G47" s="193"/>
    </row>
    <row r="49" spans="8:8" ht="15" customHeight="1" x14ac:dyDescent="0.2">
      <c r="H49" s="193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  <pageSetUpPr fitToPage="1"/>
  </sheetPr>
  <dimension ref="A1:I44"/>
  <sheetViews>
    <sheetView zoomScale="80" workbookViewId="0">
      <selection activeCell="C39" sqref="C39"/>
    </sheetView>
  </sheetViews>
  <sheetFormatPr defaultRowHeight="15" customHeight="1" x14ac:dyDescent="0.2"/>
  <cols>
    <col min="1" max="1" width="6.28515625" style="54" customWidth="1"/>
    <col min="2" max="2" width="32.28515625" style="54" customWidth="1"/>
    <col min="3" max="3" width="22.85546875" style="54" customWidth="1"/>
    <col min="4" max="4" width="17.42578125" style="54" customWidth="1"/>
    <col min="5" max="5" width="23.85546875" style="54" customWidth="1"/>
    <col min="6" max="6" width="10.28515625" style="52" customWidth="1"/>
    <col min="7" max="7" width="24.7109375" style="104" customWidth="1"/>
    <col min="8" max="16384" width="9.140625" style="54"/>
  </cols>
  <sheetData>
    <row r="1" spans="1:9" ht="15" customHeight="1" x14ac:dyDescent="0.25">
      <c r="A1" s="106" t="s">
        <v>72</v>
      </c>
      <c r="G1" s="468" t="s">
        <v>285</v>
      </c>
    </row>
    <row r="2" spans="1:9" ht="15" customHeight="1" x14ac:dyDescent="0.2">
      <c r="A2" s="87" t="s">
        <v>87</v>
      </c>
    </row>
    <row r="3" spans="1:9" ht="15" customHeight="1" x14ac:dyDescent="0.2">
      <c r="A3" s="87" t="s">
        <v>301</v>
      </c>
    </row>
    <row r="4" spans="1:9" ht="15" customHeight="1" x14ac:dyDescent="0.2">
      <c r="A4" s="87" t="s">
        <v>176</v>
      </c>
      <c r="E4" s="103" t="s">
        <v>116</v>
      </c>
      <c r="G4" s="140" t="s">
        <v>88</v>
      </c>
    </row>
    <row r="5" spans="1:9" s="103" customFormat="1" ht="15" customHeight="1" x14ac:dyDescent="0.2">
      <c r="C5" s="103" t="s">
        <v>79</v>
      </c>
      <c r="D5" s="103" t="s">
        <v>74</v>
      </c>
      <c r="E5" s="103" t="s">
        <v>75</v>
      </c>
      <c r="F5" s="141" t="s">
        <v>76</v>
      </c>
      <c r="G5" s="140" t="s">
        <v>77</v>
      </c>
    </row>
    <row r="6" spans="1:9" ht="42" customHeight="1" x14ac:dyDescent="0.2">
      <c r="A6" s="142" t="s">
        <v>0</v>
      </c>
      <c r="B6" s="142" t="s">
        <v>1</v>
      </c>
      <c r="C6" s="143" t="s">
        <v>302</v>
      </c>
      <c r="D6" s="144" t="s">
        <v>119</v>
      </c>
      <c r="E6" s="143" t="s">
        <v>303</v>
      </c>
      <c r="F6" s="142" t="s">
        <v>304</v>
      </c>
      <c r="G6" s="145" t="s">
        <v>89</v>
      </c>
    </row>
    <row r="7" spans="1:9" ht="15" customHeight="1" x14ac:dyDescent="0.2">
      <c r="A7" s="146"/>
      <c r="B7" s="146"/>
      <c r="C7" s="147"/>
      <c r="D7" s="148"/>
      <c r="E7" s="148"/>
      <c r="F7" s="149"/>
    </row>
    <row r="8" spans="1:9" ht="15" customHeight="1" x14ac:dyDescent="0.2">
      <c r="A8" s="10" t="s">
        <v>2</v>
      </c>
      <c r="B8" s="3" t="s">
        <v>128</v>
      </c>
      <c r="C8" s="150">
        <v>2309696</v>
      </c>
      <c r="D8" s="151">
        <f>'Revenue Offset'!G8</f>
        <v>0.45624173096297904</v>
      </c>
      <c r="E8" s="152">
        <f t="shared" ref="E8:E13" si="0">C8*(1-D8)</f>
        <v>1255916.2989617311</v>
      </c>
      <c r="F8" s="53">
        <f>Summary!D6</f>
        <v>1925</v>
      </c>
      <c r="G8" s="92">
        <f>E8/F8</f>
        <v>652.42405140869153</v>
      </c>
      <c r="I8" s="55"/>
    </row>
    <row r="9" spans="1:9" ht="15" customHeight="1" x14ac:dyDescent="0.2">
      <c r="A9" s="10" t="s">
        <v>4</v>
      </c>
      <c r="B9" s="3" t="s">
        <v>124</v>
      </c>
      <c r="C9" s="150">
        <v>8325524.6500000004</v>
      </c>
      <c r="D9" s="151">
        <f>'Revenue Offset'!G9</f>
        <v>0.50834573778135927</v>
      </c>
      <c r="E9" s="152">
        <f>C9*(1-D9)</f>
        <v>4093279.6793788574</v>
      </c>
      <c r="F9" s="53">
        <f>Summary!D7</f>
        <v>6810</v>
      </c>
      <c r="G9" s="92">
        <f t="shared" ref="G9:G37" si="1">E9/F9</f>
        <v>601.0689690717852</v>
      </c>
      <c r="I9" s="55"/>
    </row>
    <row r="10" spans="1:9" ht="15" customHeight="1" x14ac:dyDescent="0.2">
      <c r="A10" s="10" t="s">
        <v>5</v>
      </c>
      <c r="B10" s="3" t="s">
        <v>113</v>
      </c>
      <c r="C10" s="173">
        <v>8021159.3499999996</v>
      </c>
      <c r="D10" s="151">
        <f>'Revenue Offset'!G10</f>
        <v>0.60988099843552557</v>
      </c>
      <c r="E10" s="152">
        <f t="shared" si="0"/>
        <v>3129206.6770115485</v>
      </c>
      <c r="F10" s="53">
        <f>Summary!D8</f>
        <v>4877</v>
      </c>
      <c r="G10" s="92">
        <f t="shared" si="1"/>
        <v>641.62531823078712</v>
      </c>
      <c r="H10" s="55"/>
      <c r="I10" s="55"/>
    </row>
    <row r="11" spans="1:9" ht="15" customHeight="1" x14ac:dyDescent="0.2">
      <c r="A11" s="10" t="s">
        <v>6</v>
      </c>
      <c r="B11" s="3" t="s">
        <v>7</v>
      </c>
      <c r="C11" s="173">
        <v>2519111</v>
      </c>
      <c r="D11" s="151">
        <f>'Revenue Offset'!G11</f>
        <v>0.42490060598437657</v>
      </c>
      <c r="E11" s="152">
        <f t="shared" si="0"/>
        <v>1448739.2095580914</v>
      </c>
      <c r="F11" s="53">
        <f>Summary!D9</f>
        <v>2562</v>
      </c>
      <c r="G11" s="92">
        <f t="shared" si="1"/>
        <v>565.47197875023085</v>
      </c>
      <c r="H11" s="55"/>
      <c r="I11" s="55"/>
    </row>
    <row r="12" spans="1:9" ht="15" customHeight="1" x14ac:dyDescent="0.2">
      <c r="A12" s="10" t="s">
        <v>8</v>
      </c>
      <c r="B12" s="3" t="s">
        <v>9</v>
      </c>
      <c r="C12" s="150">
        <v>6235794.0599999996</v>
      </c>
      <c r="D12" s="151">
        <f>'Revenue Offset'!G12</f>
        <v>0.51986557297531943</v>
      </c>
      <c r="E12" s="152">
        <f t="shared" si="0"/>
        <v>2994019.4080420062</v>
      </c>
      <c r="F12" s="53">
        <f>Summary!D10</f>
        <v>5983</v>
      </c>
      <c r="G12" s="92">
        <f t="shared" si="1"/>
        <v>500.42109444125123</v>
      </c>
      <c r="H12" s="55"/>
      <c r="I12" s="55"/>
    </row>
    <row r="13" spans="1:9" ht="15" customHeight="1" x14ac:dyDescent="0.2">
      <c r="A13" s="10" t="s">
        <v>10</v>
      </c>
      <c r="B13" s="3" t="s">
        <v>146</v>
      </c>
      <c r="C13" s="150">
        <v>6093315.9000000004</v>
      </c>
      <c r="D13" s="151">
        <f>'Revenue Offset'!G13</f>
        <v>0.48658479272534444</v>
      </c>
      <c r="E13" s="152">
        <f t="shared" si="0"/>
        <v>3128401.0457884548</v>
      </c>
      <c r="F13" s="53">
        <f>Summary!D11</f>
        <v>4956</v>
      </c>
      <c r="G13" s="92">
        <f t="shared" si="1"/>
        <v>631.2350778427068</v>
      </c>
      <c r="H13" s="55"/>
      <c r="I13" s="55"/>
    </row>
    <row r="14" spans="1:9" ht="15" customHeight="1" x14ac:dyDescent="0.2">
      <c r="A14" s="10" t="s">
        <v>12</v>
      </c>
      <c r="B14" s="3" t="s">
        <v>13</v>
      </c>
      <c r="C14" s="150">
        <v>1453059.93</v>
      </c>
      <c r="D14" s="151">
        <f>'Revenue Offset'!G14</f>
        <v>0.38701773848753035</v>
      </c>
      <c r="E14" s="152">
        <f t="shared" ref="E14:E37" si="2">C14*(1-D14)</f>
        <v>890699.96200455073</v>
      </c>
      <c r="F14" s="53">
        <f>Summary!D12</f>
        <v>1025</v>
      </c>
      <c r="G14" s="92">
        <f t="shared" si="1"/>
        <v>868.97557268736659</v>
      </c>
      <c r="H14" s="55"/>
      <c r="I14" s="55"/>
    </row>
    <row r="15" spans="1:9" ht="15" customHeight="1" x14ac:dyDescent="0.2">
      <c r="A15" s="10" t="s">
        <v>14</v>
      </c>
      <c r="B15" s="3" t="s">
        <v>139</v>
      </c>
      <c r="C15" s="150">
        <v>4094460.09</v>
      </c>
      <c r="D15" s="151">
        <f>'Revenue Offset'!G15</f>
        <v>0.43354811038127306</v>
      </c>
      <c r="E15" s="152">
        <f t="shared" si="2"/>
        <v>2319314.6549489629</v>
      </c>
      <c r="F15" s="53">
        <f>Summary!D13</f>
        <v>3368</v>
      </c>
      <c r="G15" s="92">
        <f t="shared" si="1"/>
        <v>688.63261726513144</v>
      </c>
      <c r="H15" s="55"/>
      <c r="I15" s="55"/>
    </row>
    <row r="16" spans="1:9" ht="15" customHeight="1" x14ac:dyDescent="0.2">
      <c r="A16" s="10" t="s">
        <v>16</v>
      </c>
      <c r="B16" s="3" t="s">
        <v>17</v>
      </c>
      <c r="C16" s="150">
        <v>3327982.12</v>
      </c>
      <c r="D16" s="151">
        <f>'Revenue Offset'!G16</f>
        <v>0.47449863887623561</v>
      </c>
      <c r="E16" s="152">
        <f t="shared" si="2"/>
        <v>1748859.1338555512</v>
      </c>
      <c r="F16" s="53">
        <f>Summary!D14</f>
        <v>3146</v>
      </c>
      <c r="G16" s="92">
        <f t="shared" si="1"/>
        <v>555.89927967436472</v>
      </c>
      <c r="H16" s="55"/>
      <c r="I16" s="55"/>
    </row>
    <row r="17" spans="1:9" ht="15" customHeight="1" x14ac:dyDescent="0.2">
      <c r="A17" s="10" t="s">
        <v>18</v>
      </c>
      <c r="B17" s="3" t="s">
        <v>140</v>
      </c>
      <c r="C17" s="150">
        <v>19664398.34</v>
      </c>
      <c r="D17" s="151">
        <f>'Revenue Offset'!G17</f>
        <v>0.60709468026712787</v>
      </c>
      <c r="E17" s="152">
        <f t="shared" si="2"/>
        <v>7726246.7171322601</v>
      </c>
      <c r="F17" s="53">
        <f>Summary!D15</f>
        <v>6064</v>
      </c>
      <c r="G17" s="92">
        <f t="shared" si="1"/>
        <v>1274.1172026933148</v>
      </c>
      <c r="H17" s="55"/>
      <c r="I17" s="55"/>
    </row>
    <row r="18" spans="1:9" ht="15" customHeight="1" x14ac:dyDescent="0.2">
      <c r="A18" s="10" t="s">
        <v>19</v>
      </c>
      <c r="B18" s="3" t="s">
        <v>129</v>
      </c>
      <c r="C18" s="173">
        <v>7056417.8499999996</v>
      </c>
      <c r="D18" s="151">
        <f>'Revenue Offset'!G18</f>
        <v>0.48032518569439686</v>
      </c>
      <c r="E18" s="152">
        <f t="shared" si="2"/>
        <v>3667042.6358614932</v>
      </c>
      <c r="F18" s="53">
        <f>Summary!D16</f>
        <v>4792</v>
      </c>
      <c r="G18" s="92">
        <f t="shared" si="1"/>
        <v>765.24262017143008</v>
      </c>
      <c r="H18" s="55"/>
      <c r="I18" s="55"/>
    </row>
    <row r="19" spans="1:9" ht="15" customHeight="1" x14ac:dyDescent="0.2">
      <c r="A19" s="10" t="s">
        <v>21</v>
      </c>
      <c r="B19" s="121" t="s">
        <v>177</v>
      </c>
      <c r="C19" s="150">
        <v>1921382.82</v>
      </c>
      <c r="D19" s="151">
        <f>'Revenue Offset'!G19</f>
        <v>0.41354569882419179</v>
      </c>
      <c r="E19" s="152">
        <f t="shared" si="2"/>
        <v>1126803.2189943038</v>
      </c>
      <c r="F19" s="53">
        <f>Summary!D17</f>
        <v>1220</v>
      </c>
      <c r="G19" s="92">
        <f t="shared" si="1"/>
        <v>923.60919589697039</v>
      </c>
      <c r="H19" s="55"/>
      <c r="I19" s="55"/>
    </row>
    <row r="20" spans="1:9" ht="15" customHeight="1" x14ac:dyDescent="0.2">
      <c r="A20" s="37" t="s">
        <v>109</v>
      </c>
      <c r="B20" s="3" t="s">
        <v>141</v>
      </c>
      <c r="C20" s="150">
        <v>4624430.01</v>
      </c>
      <c r="D20" s="151">
        <f>'Revenue Offset'!G20</f>
        <v>0.47853785466514365</v>
      </c>
      <c r="E20" s="152">
        <f t="shared" si="2"/>
        <v>2411465.1939654909</v>
      </c>
      <c r="F20" s="53">
        <f>Summary!D18</f>
        <v>4059</v>
      </c>
      <c r="G20" s="92">
        <f t="shared" si="1"/>
        <v>594.10327518243184</v>
      </c>
      <c r="H20" s="55"/>
      <c r="I20" s="55"/>
    </row>
    <row r="21" spans="1:9" ht="15" customHeight="1" x14ac:dyDescent="0.2">
      <c r="A21" s="10" t="s">
        <v>26</v>
      </c>
      <c r="B21" s="3" t="s">
        <v>62</v>
      </c>
      <c r="C21" s="150">
        <v>12546696.1</v>
      </c>
      <c r="D21" s="151">
        <f>'Revenue Offset'!G21</f>
        <v>0.58180416703013171</v>
      </c>
      <c r="E21" s="152">
        <f t="shared" si="2"/>
        <v>5246976.0265592979</v>
      </c>
      <c r="F21" s="53">
        <f>Summary!D19</f>
        <v>5297</v>
      </c>
      <c r="G21" s="92">
        <f t="shared" si="1"/>
        <v>990.55616888036582</v>
      </c>
      <c r="H21" s="55"/>
      <c r="I21" s="55"/>
    </row>
    <row r="22" spans="1:9" ht="15" customHeight="1" x14ac:dyDescent="0.2">
      <c r="A22" s="10" t="s">
        <v>22</v>
      </c>
      <c r="B22" s="3" t="s">
        <v>23</v>
      </c>
      <c r="C22" s="150">
        <v>27849414.890000001</v>
      </c>
      <c r="D22" s="151">
        <f>'Revenue Offset'!G22</f>
        <v>0.64793537964652148</v>
      </c>
      <c r="E22" s="152">
        <f t="shared" si="2"/>
        <v>9804793.680314362</v>
      </c>
      <c r="F22" s="53">
        <f>Summary!D20</f>
        <v>13456</v>
      </c>
      <c r="G22" s="92">
        <f t="shared" si="1"/>
        <v>728.65589181884377</v>
      </c>
      <c r="H22" s="55"/>
      <c r="I22" s="55"/>
    </row>
    <row r="23" spans="1:9" ht="15" customHeight="1" x14ac:dyDescent="0.2">
      <c r="A23" s="10" t="s">
        <v>24</v>
      </c>
      <c r="B23" s="3" t="s">
        <v>137</v>
      </c>
      <c r="C23" s="150">
        <v>2483964</v>
      </c>
      <c r="D23" s="151">
        <f>'Revenue Offset'!G23</f>
        <v>0.4518890697250138</v>
      </c>
      <c r="E23" s="152">
        <f t="shared" si="2"/>
        <v>1361487.8188095759</v>
      </c>
      <c r="F23" s="53">
        <f>Summary!D21</f>
        <v>1917</v>
      </c>
      <c r="G23" s="92">
        <f t="shared" si="1"/>
        <v>710.21795451725393</v>
      </c>
      <c r="H23" s="55"/>
      <c r="I23" s="55"/>
    </row>
    <row r="24" spans="1:9" ht="15" customHeight="1" x14ac:dyDescent="0.2">
      <c r="A24" s="10" t="s">
        <v>27</v>
      </c>
      <c r="B24" s="3" t="s">
        <v>132</v>
      </c>
      <c r="C24" s="150">
        <v>10982376.970000001</v>
      </c>
      <c r="D24" s="151">
        <f>'Revenue Offset'!G24</f>
        <v>0.5727525915925874</v>
      </c>
      <c r="E24" s="152">
        <f t="shared" si="2"/>
        <v>4692192.0985857528</v>
      </c>
      <c r="F24" s="53">
        <f>Summary!D22</f>
        <v>6843</v>
      </c>
      <c r="G24" s="92">
        <f t="shared" si="1"/>
        <v>685.69225465230932</v>
      </c>
      <c r="H24" s="55"/>
      <c r="I24" s="55"/>
    </row>
    <row r="25" spans="1:9" ht="15" customHeight="1" x14ac:dyDescent="0.2">
      <c r="A25" s="10" t="s">
        <v>29</v>
      </c>
      <c r="B25" s="3" t="s">
        <v>133</v>
      </c>
      <c r="C25" s="150">
        <v>6111402.2300000004</v>
      </c>
      <c r="D25" s="151">
        <f>'Revenue Offset'!G25</f>
        <v>0.52782979805302599</v>
      </c>
      <c r="E25" s="152">
        <f t="shared" si="2"/>
        <v>2885622.0251182877</v>
      </c>
      <c r="F25" s="53">
        <f>Summary!D23</f>
        <v>4154</v>
      </c>
      <c r="G25" s="92">
        <f t="shared" si="1"/>
        <v>694.66105563752717</v>
      </c>
      <c r="H25" s="55"/>
      <c r="I25" s="55"/>
    </row>
    <row r="26" spans="1:9" ht="15" customHeight="1" x14ac:dyDescent="0.2">
      <c r="A26" s="37" t="s">
        <v>118</v>
      </c>
      <c r="B26" s="3" t="s">
        <v>63</v>
      </c>
      <c r="C26" s="173">
        <v>3376778.77</v>
      </c>
      <c r="D26" s="151">
        <f>'Revenue Offset'!G26</f>
        <v>0.46673244262792274</v>
      </c>
      <c r="E26" s="152">
        <f t="shared" si="2"/>
        <v>1800726.5664637876</v>
      </c>
      <c r="F26" s="53">
        <f>Summary!D24</f>
        <v>3466</v>
      </c>
      <c r="G26" s="92">
        <f t="shared" si="1"/>
        <v>519.54026730057342</v>
      </c>
      <c r="H26" s="55"/>
      <c r="I26" s="55"/>
    </row>
    <row r="27" spans="1:9" ht="15" customHeight="1" x14ac:dyDescent="0.2">
      <c r="A27" s="10" t="s">
        <v>31</v>
      </c>
      <c r="B27" s="3" t="s">
        <v>134</v>
      </c>
      <c r="C27" s="150">
        <v>3192774</v>
      </c>
      <c r="D27" s="151">
        <f>'Revenue Offset'!G27</f>
        <v>0.45134056461173905</v>
      </c>
      <c r="E27" s="152">
        <f t="shared" si="2"/>
        <v>1751745.5801623196</v>
      </c>
      <c r="F27" s="53">
        <f>Summary!D25</f>
        <v>2101</v>
      </c>
      <c r="G27" s="92">
        <f t="shared" si="1"/>
        <v>833.76752982499738</v>
      </c>
      <c r="H27" s="55"/>
      <c r="I27" s="55"/>
    </row>
    <row r="28" spans="1:9" ht="15" customHeight="1" x14ac:dyDescent="0.2">
      <c r="A28" s="10" t="s">
        <v>33</v>
      </c>
      <c r="B28" s="3" t="s">
        <v>130</v>
      </c>
      <c r="C28" s="150">
        <v>726883.2</v>
      </c>
      <c r="D28" s="151">
        <f>'Revenue Offset'!G28</f>
        <v>0.38473777608673843</v>
      </c>
      <c r="E28" s="152">
        <f t="shared" si="2"/>
        <v>447223.77415718808</v>
      </c>
      <c r="F28" s="53">
        <f>Summary!D26</f>
        <v>772</v>
      </c>
      <c r="G28" s="92">
        <f t="shared" si="1"/>
        <v>579.3054069393628</v>
      </c>
      <c r="H28" s="55"/>
      <c r="I28" s="55"/>
    </row>
    <row r="29" spans="1:9" ht="15" customHeight="1" x14ac:dyDescent="0.2">
      <c r="A29" s="10" t="s">
        <v>35</v>
      </c>
      <c r="B29" s="3" t="s">
        <v>36</v>
      </c>
      <c r="C29" s="150">
        <v>2801524.89</v>
      </c>
      <c r="D29" s="151">
        <f>'Revenue Offset'!G29</f>
        <v>0.45901342234845049</v>
      </c>
      <c r="E29" s="152">
        <f>C29*(1-D29)</f>
        <v>1515587.3624467335</v>
      </c>
      <c r="F29" s="53">
        <f>Summary!D27</f>
        <v>2619</v>
      </c>
      <c r="G29" s="92">
        <f t="shared" si="1"/>
        <v>578.68933274025721</v>
      </c>
      <c r="H29" s="55"/>
      <c r="I29" s="55"/>
    </row>
    <row r="30" spans="1:9" ht="15" customHeight="1" x14ac:dyDescent="0.2">
      <c r="A30" s="10" t="s">
        <v>37</v>
      </c>
      <c r="B30" s="3" t="s">
        <v>131</v>
      </c>
      <c r="C30" s="150">
        <v>3027621</v>
      </c>
      <c r="D30" s="151">
        <f>'Revenue Offset'!G30</f>
        <v>0.4677055420678205</v>
      </c>
      <c r="E30" s="152">
        <f>C30*(1-D30)</f>
        <v>1611585.8790190835</v>
      </c>
      <c r="F30" s="53">
        <f>Summary!D28</f>
        <v>2009</v>
      </c>
      <c r="G30" s="92">
        <f t="shared" si="1"/>
        <v>802.18311548983741</v>
      </c>
      <c r="H30" s="55"/>
      <c r="I30" s="55"/>
    </row>
    <row r="31" spans="1:9" ht="15" customHeight="1" x14ac:dyDescent="0.2">
      <c r="A31" s="10" t="s">
        <v>39</v>
      </c>
      <c r="B31" s="3" t="s">
        <v>135</v>
      </c>
      <c r="C31" s="150">
        <v>6193579.3300000001</v>
      </c>
      <c r="D31" s="151">
        <f>'Revenue Offset'!G31</f>
        <v>0.51278105124676165</v>
      </c>
      <c r="E31" s="152">
        <f t="shared" si="2"/>
        <v>3017629.2101823865</v>
      </c>
      <c r="F31" s="53">
        <f>Summary!D29</f>
        <v>3548</v>
      </c>
      <c r="G31" s="92">
        <f t="shared" si="1"/>
        <v>850.51556093077409</v>
      </c>
      <c r="H31" s="55"/>
      <c r="I31" s="55"/>
    </row>
    <row r="32" spans="1:9" ht="15" customHeight="1" x14ac:dyDescent="0.2">
      <c r="A32" s="10" t="s">
        <v>46</v>
      </c>
      <c r="B32" s="3" t="s">
        <v>70</v>
      </c>
      <c r="C32" s="150">
        <v>4078563.19</v>
      </c>
      <c r="D32" s="151">
        <f>'Revenue Offset'!G32</f>
        <v>0.53867318241761786</v>
      </c>
      <c r="E32" s="152">
        <f t="shared" si="2"/>
        <v>1881550.5767513486</v>
      </c>
      <c r="F32" s="53">
        <f>Summary!D30</f>
        <v>4557</v>
      </c>
      <c r="G32" s="92">
        <f t="shared" si="1"/>
        <v>412.89238023948838</v>
      </c>
      <c r="H32" s="55"/>
      <c r="I32" s="55"/>
    </row>
    <row r="33" spans="1:9" ht="15" customHeight="1" x14ac:dyDescent="0.2">
      <c r="A33" s="10" t="s">
        <v>41</v>
      </c>
      <c r="B33" s="3" t="s">
        <v>117</v>
      </c>
      <c r="C33" s="150">
        <v>3369561.83</v>
      </c>
      <c r="D33" s="151">
        <f>'Revenue Offset'!G33</f>
        <v>0.44840568936189645</v>
      </c>
      <c r="E33" s="152">
        <f>C33*(1-D33)</f>
        <v>1858631.1347713168</v>
      </c>
      <c r="F33" s="53">
        <f>Summary!D31</f>
        <v>2141</v>
      </c>
      <c r="G33" s="92">
        <f>E33/F33</f>
        <v>868.11356131308582</v>
      </c>
      <c r="H33" s="55"/>
      <c r="I33" s="55"/>
    </row>
    <row r="34" spans="1:9" ht="15" customHeight="1" x14ac:dyDescent="0.2">
      <c r="A34" s="10" t="s">
        <v>42</v>
      </c>
      <c r="B34" s="3" t="s">
        <v>69</v>
      </c>
      <c r="C34" s="150">
        <v>4777529.07</v>
      </c>
      <c r="D34" s="151">
        <f>'Revenue Offset'!G34</f>
        <v>0.53002968146986207</v>
      </c>
      <c r="E34" s="152">
        <f t="shared" si="2"/>
        <v>2245296.8588148938</v>
      </c>
      <c r="F34" s="53">
        <f>Summary!D32</f>
        <v>3608</v>
      </c>
      <c r="G34" s="92">
        <f t="shared" si="1"/>
        <v>622.31065931676653</v>
      </c>
      <c r="H34" s="55"/>
      <c r="I34" s="55"/>
    </row>
    <row r="35" spans="1:9" ht="15" customHeight="1" x14ac:dyDescent="0.2">
      <c r="A35" s="10" t="s">
        <v>43</v>
      </c>
      <c r="B35" s="3" t="s">
        <v>44</v>
      </c>
      <c r="C35" s="150">
        <v>20629623.489999998</v>
      </c>
      <c r="D35" s="151">
        <f>'Revenue Offset'!G35</f>
        <v>0.58053903257431694</v>
      </c>
      <c r="E35" s="152">
        <f t="shared" si="2"/>
        <v>8653321.8267429955</v>
      </c>
      <c r="F35" s="53">
        <f>Summary!D33</f>
        <v>11081</v>
      </c>
      <c r="G35" s="92">
        <f t="shared" si="1"/>
        <v>780.91524472006097</v>
      </c>
      <c r="H35" s="55"/>
      <c r="I35" s="55"/>
    </row>
    <row r="36" spans="1:9" ht="15" customHeight="1" x14ac:dyDescent="0.2">
      <c r="A36" s="10" t="s">
        <v>45</v>
      </c>
      <c r="B36" s="3" t="s">
        <v>136</v>
      </c>
      <c r="C36" s="150">
        <v>3436329.15</v>
      </c>
      <c r="D36" s="151">
        <f>'Revenue Offset'!G36</f>
        <v>0.52138000733701717</v>
      </c>
      <c r="E36" s="152">
        <f t="shared" si="2"/>
        <v>1644695.832560594</v>
      </c>
      <c r="F36" s="53">
        <f>Summary!D34</f>
        <v>3116</v>
      </c>
      <c r="G36" s="92">
        <f t="shared" si="1"/>
        <v>527.82279607207761</v>
      </c>
      <c r="H36" s="55"/>
      <c r="I36" s="55"/>
    </row>
    <row r="37" spans="1:9" ht="15" customHeight="1" x14ac:dyDescent="0.2">
      <c r="A37" s="10" t="s">
        <v>47</v>
      </c>
      <c r="B37" s="3" t="s">
        <v>48</v>
      </c>
      <c r="C37" s="150">
        <v>14295550.470000001</v>
      </c>
      <c r="D37" s="151">
        <f>'Revenue Offset'!G37</f>
        <v>0.6051392142122235</v>
      </c>
      <c r="E37" s="152">
        <f t="shared" si="2"/>
        <v>5644752.2918530181</v>
      </c>
      <c r="F37" s="53">
        <f>Summary!D35</f>
        <v>7357</v>
      </c>
      <c r="G37" s="92">
        <f t="shared" si="1"/>
        <v>767.26278263599534</v>
      </c>
      <c r="H37" s="55"/>
      <c r="I37" s="55"/>
    </row>
    <row r="38" spans="1:9" ht="15" customHeight="1" x14ac:dyDescent="0.2">
      <c r="G38" s="55"/>
    </row>
    <row r="39" spans="1:9" ht="15" customHeight="1" x14ac:dyDescent="0.2">
      <c r="B39" s="54" t="s">
        <v>49</v>
      </c>
      <c r="C39" s="52">
        <f>SUM(C8:C38)</f>
        <v>205526904.69999999</v>
      </c>
      <c r="D39" s="153">
        <f>'Revenue Offset'!G39</f>
        <v>0.54195028896308617</v>
      </c>
      <c r="E39" s="52">
        <f>SUM(E8:E38)</f>
        <v>92003812.378816247</v>
      </c>
      <c r="F39" s="52">
        <f>SUM(F8:F38)</f>
        <v>128829</v>
      </c>
      <c r="G39" s="55">
        <f>+E39/F39</f>
        <v>714.15451784005347</v>
      </c>
    </row>
    <row r="40" spans="1:9" ht="12" customHeight="1" x14ac:dyDescent="0.2">
      <c r="C40" s="154"/>
    </row>
    <row r="41" spans="1:9" ht="15" customHeight="1" x14ac:dyDescent="0.2">
      <c r="A41" s="16" t="s">
        <v>329</v>
      </c>
      <c r="E41" s="155"/>
    </row>
    <row r="42" spans="1:9" ht="15" customHeight="1" x14ac:dyDescent="0.2">
      <c r="A42" s="129" t="str">
        <f>'FY2015 Detail'!B40</f>
        <v>s:\finance\bargain\FY20 allocation\Summary of FY2020 Institutional Allocation Draft</v>
      </c>
    </row>
    <row r="43" spans="1:9" ht="15" customHeight="1" x14ac:dyDescent="0.2">
      <c r="A43" s="129"/>
    </row>
    <row r="44" spans="1:9" ht="15" customHeight="1" x14ac:dyDescent="0.2">
      <c r="C44" s="55"/>
      <c r="D44" s="134"/>
      <c r="E44" s="55"/>
      <c r="F44" s="55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  <pageSetUpPr fitToPage="1"/>
  </sheetPr>
  <dimension ref="A1:S47"/>
  <sheetViews>
    <sheetView zoomScale="80" zoomScaleNormal="80" workbookViewId="0">
      <selection activeCell="G17" sqref="G17"/>
    </sheetView>
  </sheetViews>
  <sheetFormatPr defaultRowHeight="12.75" x14ac:dyDescent="0.2"/>
  <cols>
    <col min="1" max="1" width="7.7109375" style="54" customWidth="1"/>
    <col min="2" max="2" width="30.7109375" style="157" customWidth="1"/>
    <col min="3" max="3" width="8.5703125" style="55" customWidth="1"/>
    <col min="4" max="4" width="12.7109375" style="55" customWidth="1"/>
    <col min="5" max="5" width="9.28515625" style="55" customWidth="1"/>
    <col min="6" max="6" width="12.7109375" style="55" bestFit="1" customWidth="1"/>
    <col min="7" max="7" width="11.42578125" style="55" customWidth="1"/>
    <col min="8" max="9" width="12" style="55" customWidth="1"/>
    <col min="10" max="10" width="16.140625" style="55" customWidth="1"/>
    <col min="11" max="11" width="12.28515625" style="55" customWidth="1"/>
    <col min="12" max="12" width="10.5703125" style="87" customWidth="1"/>
    <col min="13" max="13" width="14" style="158" customWidth="1"/>
    <col min="14" max="14" width="7.7109375" style="54" customWidth="1"/>
    <col min="15" max="15" width="30.7109375" style="157" customWidth="1"/>
    <col min="16" max="16" width="12.28515625" style="52" customWidth="1"/>
    <col min="17" max="18" width="16.42578125" style="87" customWidth="1"/>
    <col min="19" max="19" width="16.28515625" style="54" bestFit="1" customWidth="1"/>
    <col min="20" max="20" width="3.42578125" style="54" customWidth="1"/>
    <col min="21" max="16384" width="9.140625" style="54"/>
  </cols>
  <sheetData>
    <row r="1" spans="1:19" ht="15.75" x14ac:dyDescent="0.25">
      <c r="A1" s="156" t="s">
        <v>72</v>
      </c>
      <c r="M1" s="87"/>
      <c r="N1" s="156" t="s">
        <v>72</v>
      </c>
      <c r="R1" s="269"/>
      <c r="S1" s="87" t="s">
        <v>286</v>
      </c>
    </row>
    <row r="2" spans="1:19" x14ac:dyDescent="0.2">
      <c r="A2" s="108" t="s">
        <v>126</v>
      </c>
      <c r="N2" s="108" t="s">
        <v>126</v>
      </c>
      <c r="R2" s="171"/>
    </row>
    <row r="3" spans="1:19" x14ac:dyDescent="0.2">
      <c r="A3" s="87" t="s">
        <v>334</v>
      </c>
      <c r="K3" s="87" t="s">
        <v>286</v>
      </c>
      <c r="N3" s="87" t="s">
        <v>334</v>
      </c>
      <c r="R3" s="269"/>
    </row>
    <row r="4" spans="1:19" s="159" customFormat="1" ht="13.5" x14ac:dyDescent="0.25">
      <c r="A4" s="270" t="s">
        <v>161</v>
      </c>
      <c r="B4" s="160"/>
      <c r="N4" s="270" t="s">
        <v>162</v>
      </c>
      <c r="O4" s="160"/>
    </row>
    <row r="5" spans="1:19" s="271" customFormat="1" ht="12.75" customHeight="1" x14ac:dyDescent="0.2">
      <c r="B5" s="272"/>
      <c r="C5" s="161"/>
      <c r="D5" s="161"/>
      <c r="E5" s="161"/>
      <c r="F5" s="90" t="s">
        <v>97</v>
      </c>
      <c r="G5" s="161"/>
      <c r="H5" s="161"/>
      <c r="I5" s="161"/>
      <c r="J5" s="90" t="s">
        <v>163</v>
      </c>
      <c r="K5" s="90" t="s">
        <v>164</v>
      </c>
      <c r="L5" s="91"/>
      <c r="M5" s="162" t="s">
        <v>165</v>
      </c>
      <c r="O5" s="272"/>
      <c r="P5" s="162" t="s">
        <v>98</v>
      </c>
      <c r="Q5" s="91" t="s">
        <v>166</v>
      </c>
      <c r="R5" s="91"/>
    </row>
    <row r="6" spans="1:19" s="103" customFormat="1" x14ac:dyDescent="0.2">
      <c r="B6" s="91"/>
      <c r="C6" s="90" t="s">
        <v>79</v>
      </c>
      <c r="D6" s="90" t="s">
        <v>74</v>
      </c>
      <c r="E6" s="90" t="s">
        <v>75</v>
      </c>
      <c r="F6" s="90" t="s">
        <v>76</v>
      </c>
      <c r="G6" s="90" t="s">
        <v>77</v>
      </c>
      <c r="H6" s="90" t="s">
        <v>78</v>
      </c>
      <c r="I6" s="90" t="s">
        <v>81</v>
      </c>
      <c r="J6" s="90" t="s">
        <v>82</v>
      </c>
      <c r="K6" s="91" t="s">
        <v>111</v>
      </c>
      <c r="L6" s="91" t="s">
        <v>123</v>
      </c>
      <c r="M6" s="91" t="s">
        <v>99</v>
      </c>
      <c r="O6" s="91"/>
      <c r="P6" s="91" t="s">
        <v>167</v>
      </c>
      <c r="Q6" s="91" t="s">
        <v>168</v>
      </c>
      <c r="R6" s="91" t="s">
        <v>169</v>
      </c>
    </row>
    <row r="7" spans="1:19" s="163" customFormat="1" ht="76.5" x14ac:dyDescent="0.2">
      <c r="A7" s="273" t="s">
        <v>0</v>
      </c>
      <c r="B7" s="274" t="s">
        <v>1</v>
      </c>
      <c r="C7" s="275" t="s">
        <v>304</v>
      </c>
      <c r="D7" s="276" t="s">
        <v>170</v>
      </c>
      <c r="E7" s="276" t="s">
        <v>100</v>
      </c>
      <c r="F7" s="276" t="s">
        <v>101</v>
      </c>
      <c r="G7" s="470" t="s">
        <v>333</v>
      </c>
      <c r="H7" s="277" t="s">
        <v>171</v>
      </c>
      <c r="I7" s="277" t="s">
        <v>172</v>
      </c>
      <c r="J7" s="277" t="s">
        <v>173</v>
      </c>
      <c r="K7" s="247" t="s">
        <v>174</v>
      </c>
      <c r="L7" s="278" t="s">
        <v>119</v>
      </c>
      <c r="M7" s="247" t="s">
        <v>102</v>
      </c>
      <c r="N7" s="273" t="s">
        <v>0</v>
      </c>
      <c r="O7" s="274" t="s">
        <v>1</v>
      </c>
      <c r="P7" s="279" t="s">
        <v>103</v>
      </c>
      <c r="Q7" s="247" t="s">
        <v>307</v>
      </c>
      <c r="R7" s="247" t="s">
        <v>273</v>
      </c>
      <c r="S7" s="273" t="s">
        <v>175</v>
      </c>
    </row>
    <row r="8" spans="1:19" s="165" customFormat="1" x14ac:dyDescent="0.2">
      <c r="A8" s="54"/>
      <c r="B8" s="280"/>
      <c r="C8" s="281"/>
      <c r="D8" s="282"/>
      <c r="E8" s="282"/>
      <c r="F8" s="282"/>
      <c r="G8" s="471"/>
      <c r="H8" s="283"/>
      <c r="I8" s="283"/>
      <c r="J8" s="283"/>
      <c r="K8" s="284"/>
      <c r="L8" s="164"/>
      <c r="M8" s="284"/>
      <c r="N8" s="54"/>
      <c r="O8" s="280"/>
      <c r="P8" s="285"/>
      <c r="Q8" s="284"/>
      <c r="R8" s="164"/>
    </row>
    <row r="9" spans="1:19" x14ac:dyDescent="0.2">
      <c r="A9" s="286" t="s">
        <v>2</v>
      </c>
      <c r="B9" s="251" t="s">
        <v>128</v>
      </c>
      <c r="C9" s="287">
        <f>Summary!D6</f>
        <v>1925</v>
      </c>
      <c r="D9" s="288">
        <v>1363004</v>
      </c>
      <c r="E9" s="288">
        <v>1816</v>
      </c>
      <c r="F9" s="288">
        <f>+C9*E9</f>
        <v>3495800</v>
      </c>
      <c r="G9" s="472">
        <v>4106</v>
      </c>
      <c r="H9" s="289">
        <v>1169579</v>
      </c>
      <c r="I9" s="289">
        <v>544</v>
      </c>
      <c r="J9" s="289">
        <f t="shared" ref="J9:J38" si="0">+G9*I9</f>
        <v>2233664</v>
      </c>
      <c r="K9" s="290">
        <f t="shared" ref="K9:K38" si="1">+H9+J9+D9+F9</f>
        <v>8262047</v>
      </c>
      <c r="L9" s="291">
        <f>'Revenue Offset'!G8</f>
        <v>0.45624173096297904</v>
      </c>
      <c r="M9" s="292">
        <f t="shared" ref="M9:M38" si="2">K9*(1-L9)</f>
        <v>4492556.3754225122</v>
      </c>
      <c r="N9" s="286" t="s">
        <v>2</v>
      </c>
      <c r="O9" s="251" t="s">
        <v>128</v>
      </c>
      <c r="P9" s="293"/>
      <c r="Q9" s="292">
        <f t="shared" ref="Q9:Q15" si="3">+M9+P9</f>
        <v>4492556.3754225122</v>
      </c>
      <c r="R9" s="292">
        <v>4098363.4435312958</v>
      </c>
      <c r="S9" s="294">
        <f t="shared" ref="S9:S38" si="4">AVERAGE(Q9:R9)</f>
        <v>4295459.9094769042</v>
      </c>
    </row>
    <row r="10" spans="1:19" x14ac:dyDescent="0.2">
      <c r="A10" s="286" t="s">
        <v>4</v>
      </c>
      <c r="B10" s="251" t="s">
        <v>124</v>
      </c>
      <c r="C10" s="287">
        <f>Summary!D7</f>
        <v>6810</v>
      </c>
      <c r="D10" s="288">
        <v>1363004</v>
      </c>
      <c r="E10" s="288">
        <v>1816</v>
      </c>
      <c r="F10" s="288">
        <f t="shared" ref="F10:F38" si="5">+C10*E10</f>
        <v>12366960</v>
      </c>
      <c r="G10" s="472">
        <f>12040+2728</f>
        <v>14768</v>
      </c>
      <c r="H10" s="289">
        <v>1169579</v>
      </c>
      <c r="I10" s="289">
        <v>544</v>
      </c>
      <c r="J10" s="289">
        <f t="shared" si="0"/>
        <v>8033792</v>
      </c>
      <c r="K10" s="290">
        <f>+H10+J10+D10+F10</f>
        <v>22933335</v>
      </c>
      <c r="L10" s="291">
        <f>'Revenue Offset'!G9</f>
        <v>0.50834573778135927</v>
      </c>
      <c r="M10" s="292">
        <f>K10*(1-L10)</f>
        <v>11275271.89963793</v>
      </c>
      <c r="N10" s="286" t="s">
        <v>4</v>
      </c>
      <c r="O10" s="251" t="s">
        <v>124</v>
      </c>
      <c r="P10" s="293">
        <f>200000*2</f>
        <v>400000</v>
      </c>
      <c r="Q10" s="292">
        <f t="shared" si="3"/>
        <v>11675271.89963793</v>
      </c>
      <c r="R10" s="292">
        <v>10323586.686430534</v>
      </c>
      <c r="S10" s="294">
        <f t="shared" si="4"/>
        <v>10999429.293034233</v>
      </c>
    </row>
    <row r="11" spans="1:19" ht="15" customHeight="1" x14ac:dyDescent="0.2">
      <c r="A11" s="286" t="s">
        <v>5</v>
      </c>
      <c r="B11" s="251" t="s">
        <v>113</v>
      </c>
      <c r="C11" s="287">
        <f>Summary!D8</f>
        <v>4877</v>
      </c>
      <c r="D11" s="288">
        <v>4013046</v>
      </c>
      <c r="E11" s="288">
        <v>2014</v>
      </c>
      <c r="F11" s="288">
        <f t="shared" si="5"/>
        <v>9822278</v>
      </c>
      <c r="G11" s="472">
        <f>6733+1852</f>
        <v>8585</v>
      </c>
      <c r="H11" s="289">
        <v>2915969</v>
      </c>
      <c r="I11" s="289">
        <v>1124</v>
      </c>
      <c r="J11" s="289">
        <f t="shared" si="0"/>
        <v>9649540</v>
      </c>
      <c r="K11" s="290">
        <f t="shared" si="1"/>
        <v>26400833</v>
      </c>
      <c r="L11" s="291">
        <f>'Revenue Offset'!G10</f>
        <v>0.60988099843552557</v>
      </c>
      <c r="M11" s="292">
        <f t="shared" si="2"/>
        <v>10299466.610430429</v>
      </c>
      <c r="N11" s="286" t="s">
        <v>5</v>
      </c>
      <c r="O11" s="251" t="s">
        <v>113</v>
      </c>
      <c r="P11" s="293">
        <v>200000</v>
      </c>
      <c r="Q11" s="292">
        <f t="shared" si="3"/>
        <v>10499466.610430429</v>
      </c>
      <c r="R11" s="292">
        <v>9912179.009216981</v>
      </c>
      <c r="S11" s="294">
        <f t="shared" si="4"/>
        <v>10205822.809823705</v>
      </c>
    </row>
    <row r="12" spans="1:19" x14ac:dyDescent="0.2">
      <c r="A12" s="286" t="s">
        <v>6</v>
      </c>
      <c r="B12" s="251" t="s">
        <v>7</v>
      </c>
      <c r="C12" s="287">
        <f>Summary!D9</f>
        <v>2562</v>
      </c>
      <c r="D12" s="288">
        <v>1363004</v>
      </c>
      <c r="E12" s="288">
        <v>1816</v>
      </c>
      <c r="F12" s="288">
        <f t="shared" si="5"/>
        <v>4652592</v>
      </c>
      <c r="G12" s="472">
        <v>5077</v>
      </c>
      <c r="H12" s="289">
        <v>1169579</v>
      </c>
      <c r="I12" s="289">
        <v>544</v>
      </c>
      <c r="J12" s="289">
        <f t="shared" si="0"/>
        <v>2761888</v>
      </c>
      <c r="K12" s="290">
        <f t="shared" si="1"/>
        <v>9947063</v>
      </c>
      <c r="L12" s="291">
        <f>'Revenue Offset'!G11</f>
        <v>0.42490060598437657</v>
      </c>
      <c r="M12" s="292">
        <f t="shared" si="2"/>
        <v>5720549.9035352301</v>
      </c>
      <c r="N12" s="286" t="s">
        <v>6</v>
      </c>
      <c r="O12" s="251" t="s">
        <v>7</v>
      </c>
      <c r="P12" s="293">
        <v>200000</v>
      </c>
      <c r="Q12" s="292">
        <f t="shared" si="3"/>
        <v>5920549.9035352301</v>
      </c>
      <c r="R12" s="292">
        <v>5451451.2291116165</v>
      </c>
      <c r="S12" s="294">
        <f t="shared" si="4"/>
        <v>5686000.5663234238</v>
      </c>
    </row>
    <row r="13" spans="1:19" x14ac:dyDescent="0.2">
      <c r="A13" s="286" t="s">
        <v>8</v>
      </c>
      <c r="B13" s="251" t="s">
        <v>9</v>
      </c>
      <c r="C13" s="287">
        <f>Summary!D10</f>
        <v>5983</v>
      </c>
      <c r="D13" s="288">
        <v>1363004</v>
      </c>
      <c r="E13" s="288">
        <v>1816</v>
      </c>
      <c r="F13" s="288">
        <f t="shared" si="5"/>
        <v>10865128</v>
      </c>
      <c r="G13" s="472">
        <v>13476</v>
      </c>
      <c r="H13" s="289">
        <v>1169579</v>
      </c>
      <c r="I13" s="289">
        <v>544</v>
      </c>
      <c r="J13" s="289">
        <f t="shared" si="0"/>
        <v>7330944</v>
      </c>
      <c r="K13" s="290">
        <f t="shared" si="1"/>
        <v>20728655</v>
      </c>
      <c r="L13" s="291">
        <f>'Revenue Offset'!G12</f>
        <v>0.51986557297531943</v>
      </c>
      <c r="M13" s="292">
        <f t="shared" si="2"/>
        <v>9952540.8914172798</v>
      </c>
      <c r="N13" s="286" t="s">
        <v>8</v>
      </c>
      <c r="O13" s="251" t="s">
        <v>9</v>
      </c>
      <c r="P13" s="293"/>
      <c r="Q13" s="292">
        <f t="shared" si="3"/>
        <v>9952540.8914172798</v>
      </c>
      <c r="R13" s="292">
        <v>8989501.6700359527</v>
      </c>
      <c r="S13" s="294">
        <f t="shared" si="4"/>
        <v>9471021.2807266153</v>
      </c>
    </row>
    <row r="14" spans="1:19" x14ac:dyDescent="0.2">
      <c r="A14" s="286" t="s">
        <v>10</v>
      </c>
      <c r="B14" s="3" t="s">
        <v>146</v>
      </c>
      <c r="C14" s="287">
        <f>Summary!D11</f>
        <v>4956</v>
      </c>
      <c r="D14" s="288">
        <v>1363004</v>
      </c>
      <c r="E14" s="288">
        <v>1816</v>
      </c>
      <c r="F14" s="288">
        <f t="shared" si="5"/>
        <v>9000096</v>
      </c>
      <c r="G14" s="472">
        <f>3830+7246</f>
        <v>11076</v>
      </c>
      <c r="H14" s="289">
        <v>1169579</v>
      </c>
      <c r="I14" s="289">
        <v>544</v>
      </c>
      <c r="J14" s="289">
        <f t="shared" si="0"/>
        <v>6025344</v>
      </c>
      <c r="K14" s="290">
        <f t="shared" si="1"/>
        <v>17558023</v>
      </c>
      <c r="L14" s="291">
        <f>'Revenue Offset'!G13</f>
        <v>0.48658479272534444</v>
      </c>
      <c r="M14" s="292">
        <f t="shared" si="2"/>
        <v>9014556.0178781711</v>
      </c>
      <c r="N14" s="286" t="s">
        <v>10</v>
      </c>
      <c r="O14" s="3" t="s">
        <v>146</v>
      </c>
      <c r="P14" s="293">
        <v>200000</v>
      </c>
      <c r="Q14" s="292">
        <f t="shared" si="3"/>
        <v>9214556.0178781711</v>
      </c>
      <c r="R14" s="292">
        <v>8622967.1571878474</v>
      </c>
      <c r="S14" s="294">
        <f t="shared" si="4"/>
        <v>8918761.5875330083</v>
      </c>
    </row>
    <row r="15" spans="1:19" x14ac:dyDescent="0.2">
      <c r="A15" s="286" t="s">
        <v>12</v>
      </c>
      <c r="B15" s="251" t="s">
        <v>13</v>
      </c>
      <c r="C15" s="287">
        <f>Summary!D12</f>
        <v>1025</v>
      </c>
      <c r="D15" s="288">
        <v>1363004</v>
      </c>
      <c r="E15" s="288">
        <v>1816</v>
      </c>
      <c r="F15" s="288">
        <f t="shared" si="5"/>
        <v>1861400</v>
      </c>
      <c r="G15" s="472">
        <v>2184</v>
      </c>
      <c r="H15" s="289">
        <v>1169579</v>
      </c>
      <c r="I15" s="289">
        <v>544</v>
      </c>
      <c r="J15" s="289">
        <f t="shared" si="0"/>
        <v>1188096</v>
      </c>
      <c r="K15" s="290">
        <f t="shared" si="1"/>
        <v>5582079</v>
      </c>
      <c r="L15" s="291">
        <f>'Revenue Offset'!G14</f>
        <v>0.38701773848753035</v>
      </c>
      <c r="M15" s="292">
        <f t="shared" si="2"/>
        <v>3421715.4093612647</v>
      </c>
      <c r="N15" s="286" t="s">
        <v>12</v>
      </c>
      <c r="O15" s="251" t="s">
        <v>13</v>
      </c>
      <c r="P15" s="293"/>
      <c r="Q15" s="292">
        <f t="shared" si="3"/>
        <v>3421715.4093612647</v>
      </c>
      <c r="R15" s="292">
        <v>3196117.7412363058</v>
      </c>
      <c r="S15" s="294">
        <f t="shared" si="4"/>
        <v>3308916.5752987852</v>
      </c>
    </row>
    <row r="16" spans="1:19" x14ac:dyDescent="0.2">
      <c r="A16" s="286" t="s">
        <v>14</v>
      </c>
      <c r="B16" s="251" t="s">
        <v>139</v>
      </c>
      <c r="C16" s="287">
        <f>Summary!D13</f>
        <v>3368</v>
      </c>
      <c r="D16" s="288">
        <v>1363004</v>
      </c>
      <c r="E16" s="288">
        <v>1816</v>
      </c>
      <c r="F16" s="288">
        <f t="shared" si="5"/>
        <v>6116288</v>
      </c>
      <c r="G16" s="472">
        <v>7807</v>
      </c>
      <c r="H16" s="289">
        <v>1169579</v>
      </c>
      <c r="I16" s="289">
        <v>544</v>
      </c>
      <c r="J16" s="289">
        <f t="shared" si="0"/>
        <v>4247008</v>
      </c>
      <c r="K16" s="290">
        <f t="shared" si="1"/>
        <v>12895879</v>
      </c>
      <c r="L16" s="291">
        <f>'Revenue Offset'!G15</f>
        <v>0.43354811038127306</v>
      </c>
      <c r="M16" s="292">
        <f t="shared" si="2"/>
        <v>7304895.0278444588</v>
      </c>
      <c r="N16" s="286" t="s">
        <v>14</v>
      </c>
      <c r="O16" s="251" t="s">
        <v>139</v>
      </c>
      <c r="P16" s="293">
        <v>200000</v>
      </c>
      <c r="Q16" s="292">
        <f t="shared" ref="Q16:Q38" si="6">+M16+P16</f>
        <v>7504895.0278444588</v>
      </c>
      <c r="R16" s="292">
        <v>7199938.6585867535</v>
      </c>
      <c r="S16" s="294">
        <f t="shared" si="4"/>
        <v>7352416.8432156062</v>
      </c>
    </row>
    <row r="17" spans="1:19" x14ac:dyDescent="0.2">
      <c r="A17" s="286" t="s">
        <v>16</v>
      </c>
      <c r="B17" s="251" t="s">
        <v>17</v>
      </c>
      <c r="C17" s="287">
        <f>Summary!D14</f>
        <v>3146</v>
      </c>
      <c r="D17" s="288">
        <v>1363004</v>
      </c>
      <c r="E17" s="288">
        <v>1816</v>
      </c>
      <c r="F17" s="288">
        <f t="shared" si="5"/>
        <v>5713136</v>
      </c>
      <c r="G17" s="472">
        <v>7916</v>
      </c>
      <c r="H17" s="289">
        <v>1169579</v>
      </c>
      <c r="I17" s="289">
        <v>544</v>
      </c>
      <c r="J17" s="289">
        <f t="shared" si="0"/>
        <v>4306304</v>
      </c>
      <c r="K17" s="290">
        <f t="shared" si="1"/>
        <v>12552023</v>
      </c>
      <c r="L17" s="291">
        <f>'Revenue Offset'!G16</f>
        <v>0.47449863887623561</v>
      </c>
      <c r="M17" s="292">
        <f t="shared" si="2"/>
        <v>6596105.1713567972</v>
      </c>
      <c r="N17" s="286" t="s">
        <v>16</v>
      </c>
      <c r="O17" s="251" t="s">
        <v>17</v>
      </c>
      <c r="P17" s="293"/>
      <c r="Q17" s="292">
        <f t="shared" si="6"/>
        <v>6596105.1713567972</v>
      </c>
      <c r="R17" s="292">
        <v>6017848.7217313945</v>
      </c>
      <c r="S17" s="294">
        <f t="shared" si="4"/>
        <v>6306976.9465440959</v>
      </c>
    </row>
    <row r="18" spans="1:19" x14ac:dyDescent="0.2">
      <c r="A18" s="286" t="s">
        <v>18</v>
      </c>
      <c r="B18" s="251" t="s">
        <v>140</v>
      </c>
      <c r="C18" s="287">
        <f>Summary!D15</f>
        <v>6064</v>
      </c>
      <c r="D18" s="288">
        <v>4013046</v>
      </c>
      <c r="E18" s="288">
        <v>2014</v>
      </c>
      <c r="F18" s="288">
        <f t="shared" si="5"/>
        <v>12212896</v>
      </c>
      <c r="G18" s="472">
        <v>12308</v>
      </c>
      <c r="H18" s="289">
        <v>2915969</v>
      </c>
      <c r="I18" s="289">
        <v>1124</v>
      </c>
      <c r="J18" s="289">
        <f t="shared" si="0"/>
        <v>13834192</v>
      </c>
      <c r="K18" s="290">
        <f t="shared" si="1"/>
        <v>32976103</v>
      </c>
      <c r="L18" s="291">
        <f>'Revenue Offset'!G17</f>
        <v>0.60709468026712787</v>
      </c>
      <c r="M18" s="292">
        <f t="shared" si="2"/>
        <v>12956486.292759124</v>
      </c>
      <c r="N18" s="286" t="s">
        <v>18</v>
      </c>
      <c r="O18" s="251" t="s">
        <v>140</v>
      </c>
      <c r="P18" s="293"/>
      <c r="Q18" s="292">
        <f t="shared" si="6"/>
        <v>12956486.292759124</v>
      </c>
      <c r="R18" s="292">
        <v>12197485.282735324</v>
      </c>
      <c r="S18" s="294">
        <f t="shared" si="4"/>
        <v>12576985.787747223</v>
      </c>
    </row>
    <row r="19" spans="1:19" x14ac:dyDescent="0.2">
      <c r="A19" s="286" t="s">
        <v>19</v>
      </c>
      <c r="B19" s="251" t="s">
        <v>129</v>
      </c>
      <c r="C19" s="287">
        <f>Summary!D16</f>
        <v>4792</v>
      </c>
      <c r="D19" s="288">
        <v>1363004</v>
      </c>
      <c r="E19" s="288">
        <v>1816</v>
      </c>
      <c r="F19" s="288">
        <f t="shared" si="5"/>
        <v>8702272</v>
      </c>
      <c r="G19" s="472">
        <v>11929</v>
      </c>
      <c r="H19" s="289">
        <v>1169579</v>
      </c>
      <c r="I19" s="289">
        <v>544</v>
      </c>
      <c r="J19" s="289">
        <f t="shared" si="0"/>
        <v>6489376</v>
      </c>
      <c r="K19" s="290">
        <f t="shared" si="1"/>
        <v>17724231</v>
      </c>
      <c r="L19" s="291">
        <f>'Revenue Offset'!G18</f>
        <v>0.48032518569439686</v>
      </c>
      <c r="M19" s="292">
        <f t="shared" si="2"/>
        <v>9210836.4536346141</v>
      </c>
      <c r="N19" s="286" t="s">
        <v>19</v>
      </c>
      <c r="O19" s="251" t="s">
        <v>129</v>
      </c>
      <c r="P19" s="293"/>
      <c r="Q19" s="292">
        <f t="shared" si="6"/>
        <v>9210836.4536346141</v>
      </c>
      <c r="R19" s="292">
        <v>8649181.9470170531</v>
      </c>
      <c r="S19" s="294">
        <f t="shared" si="4"/>
        <v>8930009.2003258336</v>
      </c>
    </row>
    <row r="20" spans="1:19" x14ac:dyDescent="0.2">
      <c r="A20" s="286" t="s">
        <v>21</v>
      </c>
      <c r="B20" s="259" t="s">
        <v>177</v>
      </c>
      <c r="C20" s="287">
        <f>Summary!D17</f>
        <v>1220</v>
      </c>
      <c r="D20" s="288">
        <v>1363004</v>
      </c>
      <c r="E20" s="288">
        <v>1816</v>
      </c>
      <c r="F20" s="288">
        <f t="shared" si="5"/>
        <v>2215520</v>
      </c>
      <c r="G20" s="472">
        <v>2859</v>
      </c>
      <c r="H20" s="289">
        <v>1169579</v>
      </c>
      <c r="I20" s="289">
        <v>544</v>
      </c>
      <c r="J20" s="289">
        <f t="shared" si="0"/>
        <v>1555296</v>
      </c>
      <c r="K20" s="290">
        <f t="shared" si="1"/>
        <v>6303399</v>
      </c>
      <c r="L20" s="291">
        <f>'Revenue Offset'!G19</f>
        <v>0.41354569882419179</v>
      </c>
      <c r="M20" s="292">
        <f t="shared" si="2"/>
        <v>3696655.4555772883</v>
      </c>
      <c r="N20" s="286" t="s">
        <v>21</v>
      </c>
      <c r="O20" s="259" t="s">
        <v>71</v>
      </c>
      <c r="P20" s="293">
        <v>200000</v>
      </c>
      <c r="Q20" s="292">
        <f t="shared" si="6"/>
        <v>3896655.4555772883</v>
      </c>
      <c r="R20" s="292">
        <v>3638532.0811567064</v>
      </c>
      <c r="S20" s="294">
        <f t="shared" si="4"/>
        <v>3767593.7683669971</v>
      </c>
    </row>
    <row r="21" spans="1:19" x14ac:dyDescent="0.2">
      <c r="A21" s="260" t="s">
        <v>109</v>
      </c>
      <c r="B21" s="251" t="s">
        <v>141</v>
      </c>
      <c r="C21" s="287">
        <f>Summary!D18</f>
        <v>4059</v>
      </c>
      <c r="D21" s="288">
        <v>1363004</v>
      </c>
      <c r="E21" s="288">
        <v>1816</v>
      </c>
      <c r="F21" s="288">
        <f>+C21*E21</f>
        <v>7371144</v>
      </c>
      <c r="G21" s="472">
        <v>8215</v>
      </c>
      <c r="H21" s="289">
        <v>1169579</v>
      </c>
      <c r="I21" s="289">
        <v>544</v>
      </c>
      <c r="J21" s="289">
        <f t="shared" si="0"/>
        <v>4468960</v>
      </c>
      <c r="K21" s="290">
        <f t="shared" si="1"/>
        <v>14372687</v>
      </c>
      <c r="L21" s="291">
        <f>'Revenue Offset'!G20</f>
        <v>0.47853785466514365</v>
      </c>
      <c r="M21" s="292">
        <f t="shared" si="2"/>
        <v>7494812.1972464006</v>
      </c>
      <c r="N21" s="260" t="s">
        <v>109</v>
      </c>
      <c r="O21" s="251" t="s">
        <v>141</v>
      </c>
      <c r="P21" s="293">
        <f>(200000)+(264*500)+(327*500)</f>
        <v>495500</v>
      </c>
      <c r="Q21" s="292">
        <f>+M21+P21</f>
        <v>7990312.1972464006</v>
      </c>
      <c r="R21" s="292">
        <v>7415974.5281973984</v>
      </c>
      <c r="S21" s="294">
        <f t="shared" si="4"/>
        <v>7703143.3627218995</v>
      </c>
    </row>
    <row r="22" spans="1:19" x14ac:dyDescent="0.2">
      <c r="A22" s="286" t="s">
        <v>26</v>
      </c>
      <c r="B22" s="251" t="s">
        <v>62</v>
      </c>
      <c r="C22" s="287">
        <f>Summary!D19</f>
        <v>5297</v>
      </c>
      <c r="D22" s="288">
        <v>4013046</v>
      </c>
      <c r="E22" s="288">
        <v>2014</v>
      </c>
      <c r="F22" s="288">
        <f>+C22*E22</f>
        <v>10668158</v>
      </c>
      <c r="G22" s="472">
        <v>7688</v>
      </c>
      <c r="H22" s="289">
        <v>2915969</v>
      </c>
      <c r="I22" s="289">
        <v>1124</v>
      </c>
      <c r="J22" s="289">
        <f t="shared" si="0"/>
        <v>8641312</v>
      </c>
      <c r="K22" s="290">
        <f t="shared" si="1"/>
        <v>26238485</v>
      </c>
      <c r="L22" s="291">
        <f>'Revenue Offset'!G21</f>
        <v>0.58180416703013171</v>
      </c>
      <c r="M22" s="292">
        <f t="shared" si="2"/>
        <v>10972825.090442395</v>
      </c>
      <c r="N22" s="286" t="s">
        <v>26</v>
      </c>
      <c r="O22" s="251" t="s">
        <v>62</v>
      </c>
      <c r="P22" s="293"/>
      <c r="Q22" s="292">
        <f t="shared" si="6"/>
        <v>10972825.090442395</v>
      </c>
      <c r="R22" s="292">
        <v>10494860.800707582</v>
      </c>
      <c r="S22" s="294">
        <f t="shared" si="4"/>
        <v>10733842.945574988</v>
      </c>
    </row>
    <row r="23" spans="1:19" x14ac:dyDescent="0.2">
      <c r="A23" s="286" t="s">
        <v>22</v>
      </c>
      <c r="B23" s="251" t="s">
        <v>23</v>
      </c>
      <c r="C23" s="287">
        <f>Summary!D20</f>
        <v>13456</v>
      </c>
      <c r="D23" s="288">
        <v>4013046</v>
      </c>
      <c r="E23" s="288">
        <v>2014</v>
      </c>
      <c r="F23" s="288">
        <f>+C23*E23</f>
        <v>27100384</v>
      </c>
      <c r="G23" s="472">
        <v>18269</v>
      </c>
      <c r="H23" s="289">
        <v>2915969</v>
      </c>
      <c r="I23" s="289">
        <v>1124</v>
      </c>
      <c r="J23" s="289">
        <f t="shared" si="0"/>
        <v>20534356</v>
      </c>
      <c r="K23" s="290">
        <f t="shared" si="1"/>
        <v>54563755</v>
      </c>
      <c r="L23" s="291">
        <f>'Revenue Offset'!G22</f>
        <v>0.64793537964652148</v>
      </c>
      <c r="M23" s="292">
        <f t="shared" si="2"/>
        <v>19209967.689135216</v>
      </c>
      <c r="N23" s="286" t="s">
        <v>22</v>
      </c>
      <c r="O23" s="251" t="s">
        <v>23</v>
      </c>
      <c r="P23" s="293"/>
      <c r="Q23" s="292">
        <f t="shared" si="6"/>
        <v>19209967.689135216</v>
      </c>
      <c r="R23" s="292">
        <v>18704352.434849635</v>
      </c>
      <c r="S23" s="294">
        <f t="shared" si="4"/>
        <v>18957160.061992425</v>
      </c>
    </row>
    <row r="24" spans="1:19" x14ac:dyDescent="0.2">
      <c r="A24" s="286" t="s">
        <v>24</v>
      </c>
      <c r="B24" s="251" t="s">
        <v>137</v>
      </c>
      <c r="C24" s="287">
        <f>Summary!D21</f>
        <v>1917</v>
      </c>
      <c r="D24" s="288">
        <v>1363004</v>
      </c>
      <c r="E24" s="288">
        <v>1816</v>
      </c>
      <c r="F24" s="288">
        <f t="shared" si="5"/>
        <v>3481272</v>
      </c>
      <c r="G24" s="472">
        <v>4864</v>
      </c>
      <c r="H24" s="289">
        <v>1169579</v>
      </c>
      <c r="I24" s="289">
        <v>544</v>
      </c>
      <c r="J24" s="289">
        <f t="shared" si="0"/>
        <v>2646016</v>
      </c>
      <c r="K24" s="290">
        <f t="shared" si="1"/>
        <v>8659871</v>
      </c>
      <c r="L24" s="291">
        <f>'Revenue Offset'!G23</f>
        <v>0.4518890697250138</v>
      </c>
      <c r="M24" s="292">
        <f t="shared" si="2"/>
        <v>4746569.9498713752</v>
      </c>
      <c r="N24" s="286" t="s">
        <v>24</v>
      </c>
      <c r="O24" s="251" t="s">
        <v>137</v>
      </c>
      <c r="P24" s="293">
        <f>(200000)+((68+91+154)*500)</f>
        <v>356500</v>
      </c>
      <c r="Q24" s="292">
        <f t="shared" si="6"/>
        <v>5103069.9498713752</v>
      </c>
      <c r="R24" s="292">
        <v>4704759.0320975697</v>
      </c>
      <c r="S24" s="294">
        <f t="shared" si="4"/>
        <v>4903914.4909844724</v>
      </c>
    </row>
    <row r="25" spans="1:19" x14ac:dyDescent="0.2">
      <c r="A25" s="286" t="s">
        <v>27</v>
      </c>
      <c r="B25" s="251" t="s">
        <v>132</v>
      </c>
      <c r="C25" s="287">
        <f>Summary!D22</f>
        <v>6843</v>
      </c>
      <c r="D25" s="288">
        <v>1363004</v>
      </c>
      <c r="E25" s="288">
        <v>1816</v>
      </c>
      <c r="F25" s="288">
        <f t="shared" si="5"/>
        <v>12426888</v>
      </c>
      <c r="G25" s="472">
        <v>15952</v>
      </c>
      <c r="H25" s="289">
        <v>1169579</v>
      </c>
      <c r="I25" s="289">
        <v>544</v>
      </c>
      <c r="J25" s="289">
        <f t="shared" si="0"/>
        <v>8677888</v>
      </c>
      <c r="K25" s="290">
        <f t="shared" si="1"/>
        <v>23637359</v>
      </c>
      <c r="L25" s="291">
        <f>'Revenue Offset'!G24</f>
        <v>0.5727525915925874</v>
      </c>
      <c r="M25" s="292">
        <f t="shared" si="2"/>
        <v>10099000.37434563</v>
      </c>
      <c r="N25" s="286" t="s">
        <v>27</v>
      </c>
      <c r="O25" s="251" t="s">
        <v>132</v>
      </c>
      <c r="P25" s="293"/>
      <c r="Q25" s="292">
        <f t="shared" si="6"/>
        <v>10099000.37434563</v>
      </c>
      <c r="R25" s="292">
        <v>8928601.4976879358</v>
      </c>
      <c r="S25" s="294">
        <f t="shared" si="4"/>
        <v>9513800.9360167831</v>
      </c>
    </row>
    <row r="26" spans="1:19" ht="25.5" x14ac:dyDescent="0.2">
      <c r="A26" s="286" t="s">
        <v>29</v>
      </c>
      <c r="B26" s="251" t="s">
        <v>133</v>
      </c>
      <c r="C26" s="287">
        <f>Summary!D23</f>
        <v>4154</v>
      </c>
      <c r="D26" s="288">
        <v>1363004</v>
      </c>
      <c r="E26" s="288">
        <v>1816</v>
      </c>
      <c r="F26" s="288">
        <f t="shared" si="5"/>
        <v>7543664</v>
      </c>
      <c r="G26" s="472">
        <v>10618</v>
      </c>
      <c r="H26" s="289">
        <v>1169579</v>
      </c>
      <c r="I26" s="289">
        <v>544</v>
      </c>
      <c r="J26" s="289">
        <f t="shared" si="0"/>
        <v>5776192</v>
      </c>
      <c r="K26" s="290">
        <f t="shared" si="1"/>
        <v>15852439</v>
      </c>
      <c r="L26" s="291">
        <f>'Revenue Offset'!G25</f>
        <v>0.52782979805302599</v>
      </c>
      <c r="M26" s="292">
        <f t="shared" si="2"/>
        <v>7485049.323982087</v>
      </c>
      <c r="N26" s="286" t="s">
        <v>29</v>
      </c>
      <c r="O26" s="251" t="s">
        <v>133</v>
      </c>
      <c r="P26" s="293"/>
      <c r="Q26" s="292">
        <f t="shared" si="6"/>
        <v>7485049.323982087</v>
      </c>
      <c r="R26" s="292">
        <v>6767385.9538546642</v>
      </c>
      <c r="S26" s="294">
        <f t="shared" si="4"/>
        <v>7126217.6389183756</v>
      </c>
    </row>
    <row r="27" spans="1:19" ht="25.5" x14ac:dyDescent="0.2">
      <c r="A27" s="260" t="s">
        <v>118</v>
      </c>
      <c r="B27" s="251" t="s">
        <v>63</v>
      </c>
      <c r="C27" s="287">
        <f>Summary!D24</f>
        <v>3466</v>
      </c>
      <c r="D27" s="288">
        <v>1363004</v>
      </c>
      <c r="E27" s="288">
        <v>1816</v>
      </c>
      <c r="F27" s="288">
        <f t="shared" si="5"/>
        <v>6294256</v>
      </c>
      <c r="G27" s="472">
        <v>6621</v>
      </c>
      <c r="H27" s="289">
        <v>1169579</v>
      </c>
      <c r="I27" s="289">
        <v>544</v>
      </c>
      <c r="J27" s="289">
        <f t="shared" si="0"/>
        <v>3601824</v>
      </c>
      <c r="K27" s="290">
        <f t="shared" si="1"/>
        <v>12428663</v>
      </c>
      <c r="L27" s="291">
        <f>'Revenue Offset'!G26</f>
        <v>0.46673244262792274</v>
      </c>
      <c r="M27" s="292">
        <f t="shared" si="2"/>
        <v>6627802.7594107147</v>
      </c>
      <c r="N27" s="260" t="s">
        <v>118</v>
      </c>
      <c r="O27" s="251" t="s">
        <v>63</v>
      </c>
      <c r="P27" s="167">
        <f>(200000*4)+(244*500)</f>
        <v>922000</v>
      </c>
      <c r="Q27" s="292">
        <f>+M27+P27</f>
        <v>7549802.7594107147</v>
      </c>
      <c r="R27" s="292">
        <v>7344940.4080774654</v>
      </c>
      <c r="S27" s="294">
        <f>AVERAGE(Q27:R27)</f>
        <v>7447371.5837440901</v>
      </c>
    </row>
    <row r="28" spans="1:19" x14ac:dyDescent="0.2">
      <c r="A28" s="286" t="s">
        <v>31</v>
      </c>
      <c r="B28" s="251" t="s">
        <v>134</v>
      </c>
      <c r="C28" s="287">
        <f>Summary!D25</f>
        <v>2101</v>
      </c>
      <c r="D28" s="288">
        <v>1363004</v>
      </c>
      <c r="E28" s="288">
        <v>1816</v>
      </c>
      <c r="F28" s="288">
        <f t="shared" si="5"/>
        <v>3815416</v>
      </c>
      <c r="G28" s="472">
        <v>4783</v>
      </c>
      <c r="H28" s="289">
        <v>1169579</v>
      </c>
      <c r="I28" s="289">
        <v>544</v>
      </c>
      <c r="J28" s="289">
        <f t="shared" si="0"/>
        <v>2601952</v>
      </c>
      <c r="K28" s="290">
        <f t="shared" si="1"/>
        <v>8949951</v>
      </c>
      <c r="L28" s="291">
        <f>'Revenue Offset'!G27</f>
        <v>0.45134056461173905</v>
      </c>
      <c r="M28" s="292">
        <f t="shared" si="2"/>
        <v>4910475.0624126019</v>
      </c>
      <c r="N28" s="286" t="s">
        <v>31</v>
      </c>
      <c r="O28" s="251" t="s">
        <v>134</v>
      </c>
      <c r="P28" s="293">
        <v>200000</v>
      </c>
      <c r="Q28" s="292">
        <f t="shared" si="6"/>
        <v>5110475.0624126019</v>
      </c>
      <c r="R28" s="292">
        <v>4849818.2317181556</v>
      </c>
      <c r="S28" s="294">
        <f t="shared" si="4"/>
        <v>4980146.6470653787</v>
      </c>
    </row>
    <row r="29" spans="1:19" x14ac:dyDescent="0.2">
      <c r="A29" s="286" t="s">
        <v>33</v>
      </c>
      <c r="B29" s="251" t="s">
        <v>130</v>
      </c>
      <c r="C29" s="287">
        <f>Summary!D26</f>
        <v>772</v>
      </c>
      <c r="D29" s="288">
        <v>1363004</v>
      </c>
      <c r="E29" s="288">
        <v>1816</v>
      </c>
      <c r="F29" s="288">
        <f t="shared" si="5"/>
        <v>1401952</v>
      </c>
      <c r="G29" s="472">
        <v>2446</v>
      </c>
      <c r="H29" s="289">
        <v>1169579</v>
      </c>
      <c r="I29" s="289">
        <v>544</v>
      </c>
      <c r="J29" s="289">
        <f t="shared" si="0"/>
        <v>1330624</v>
      </c>
      <c r="K29" s="290">
        <f t="shared" si="1"/>
        <v>5265159</v>
      </c>
      <c r="L29" s="291">
        <f>'Revenue Offset'!G28</f>
        <v>0.38473777608673843</v>
      </c>
      <c r="M29" s="292">
        <f t="shared" si="2"/>
        <v>3239453.4355969243</v>
      </c>
      <c r="N29" s="286" t="s">
        <v>33</v>
      </c>
      <c r="O29" s="251" t="s">
        <v>130</v>
      </c>
      <c r="P29" s="293"/>
      <c r="Q29" s="292">
        <f t="shared" si="6"/>
        <v>3239453.4355969243</v>
      </c>
      <c r="R29" s="292">
        <v>2897875.4972019722</v>
      </c>
      <c r="S29" s="294">
        <f t="shared" si="4"/>
        <v>3068664.466399448</v>
      </c>
    </row>
    <row r="30" spans="1:19" x14ac:dyDescent="0.2">
      <c r="A30" s="286" t="s">
        <v>35</v>
      </c>
      <c r="B30" s="251" t="s">
        <v>36</v>
      </c>
      <c r="C30" s="287">
        <f>Summary!D27</f>
        <v>2619</v>
      </c>
      <c r="D30" s="288">
        <v>1363004</v>
      </c>
      <c r="E30" s="288">
        <v>1816</v>
      </c>
      <c r="F30" s="288">
        <f t="shared" si="5"/>
        <v>4756104</v>
      </c>
      <c r="G30" s="472">
        <v>5060</v>
      </c>
      <c r="H30" s="289">
        <v>1169579</v>
      </c>
      <c r="I30" s="289">
        <v>544</v>
      </c>
      <c r="J30" s="289">
        <f t="shared" si="0"/>
        <v>2752640</v>
      </c>
      <c r="K30" s="290">
        <f t="shared" si="1"/>
        <v>10041327</v>
      </c>
      <c r="L30" s="291">
        <f>'Revenue Offset'!G29</f>
        <v>0.45901342234845049</v>
      </c>
      <c r="M30" s="292">
        <f t="shared" si="2"/>
        <v>5432223.1288101003</v>
      </c>
      <c r="N30" s="286" t="s">
        <v>35</v>
      </c>
      <c r="O30" s="251" t="s">
        <v>36</v>
      </c>
      <c r="P30" s="293">
        <v>200000</v>
      </c>
      <c r="Q30" s="292">
        <f t="shared" si="6"/>
        <v>5632223.1288101003</v>
      </c>
      <c r="R30" s="292">
        <v>5308727.0218829038</v>
      </c>
      <c r="S30" s="294">
        <f t="shared" si="4"/>
        <v>5470475.0753465015</v>
      </c>
    </row>
    <row r="31" spans="1:19" x14ac:dyDescent="0.2">
      <c r="A31" s="286" t="s">
        <v>37</v>
      </c>
      <c r="B31" s="251" t="s">
        <v>131</v>
      </c>
      <c r="C31" s="287">
        <f>Summary!D28</f>
        <v>2009</v>
      </c>
      <c r="D31" s="288">
        <v>1363004</v>
      </c>
      <c r="E31" s="288">
        <v>1816</v>
      </c>
      <c r="F31" s="288">
        <f t="shared" si="5"/>
        <v>3648344</v>
      </c>
      <c r="G31" s="472">
        <v>4504</v>
      </c>
      <c r="H31" s="289">
        <v>1169579</v>
      </c>
      <c r="I31" s="289">
        <v>544</v>
      </c>
      <c r="J31" s="289">
        <f t="shared" si="0"/>
        <v>2450176</v>
      </c>
      <c r="K31" s="290">
        <f t="shared" si="1"/>
        <v>8631103</v>
      </c>
      <c r="L31" s="291">
        <f>'Revenue Offset'!G30</f>
        <v>0.4677055420678205</v>
      </c>
      <c r="M31" s="292">
        <f t="shared" si="2"/>
        <v>4594288.292741809</v>
      </c>
      <c r="N31" s="286" t="s">
        <v>37</v>
      </c>
      <c r="O31" s="251" t="s">
        <v>131</v>
      </c>
      <c r="P31" s="293">
        <f>200000+(74*500)</f>
        <v>237000</v>
      </c>
      <c r="Q31" s="292">
        <f t="shared" si="6"/>
        <v>4831288.292741809</v>
      </c>
      <c r="R31" s="292">
        <v>4463546.0368756447</v>
      </c>
      <c r="S31" s="294">
        <f t="shared" si="4"/>
        <v>4647417.1648087269</v>
      </c>
    </row>
    <row r="32" spans="1:19" x14ac:dyDescent="0.2">
      <c r="A32" s="286" t="s">
        <v>39</v>
      </c>
      <c r="B32" s="251" t="s">
        <v>135</v>
      </c>
      <c r="C32" s="287">
        <f>Summary!D29</f>
        <v>3548</v>
      </c>
      <c r="D32" s="288">
        <v>1363004</v>
      </c>
      <c r="E32" s="288">
        <v>1816</v>
      </c>
      <c r="F32" s="288">
        <f t="shared" si="5"/>
        <v>6443168</v>
      </c>
      <c r="G32" s="472">
        <v>7595</v>
      </c>
      <c r="H32" s="289">
        <v>1169579</v>
      </c>
      <c r="I32" s="289">
        <v>544</v>
      </c>
      <c r="J32" s="289">
        <f t="shared" si="0"/>
        <v>4131680</v>
      </c>
      <c r="K32" s="290">
        <f t="shared" si="1"/>
        <v>13107431</v>
      </c>
      <c r="L32" s="291">
        <f>'Revenue Offset'!G31</f>
        <v>0.51278105124676165</v>
      </c>
      <c r="M32" s="292">
        <f t="shared" si="2"/>
        <v>6386188.7526756078</v>
      </c>
      <c r="N32" s="286" t="s">
        <v>39</v>
      </c>
      <c r="O32" s="251" t="s">
        <v>135</v>
      </c>
      <c r="P32" s="293"/>
      <c r="Q32" s="292">
        <f t="shared" si="6"/>
        <v>6386188.7526756078</v>
      </c>
      <c r="R32" s="292">
        <v>5571645.9598691333</v>
      </c>
      <c r="S32" s="294">
        <f t="shared" si="4"/>
        <v>5978917.3562723706</v>
      </c>
    </row>
    <row r="33" spans="1:19" x14ac:dyDescent="0.2">
      <c r="A33" s="286" t="s">
        <v>46</v>
      </c>
      <c r="B33" s="251" t="s">
        <v>70</v>
      </c>
      <c r="C33" s="287">
        <f>Summary!D30</f>
        <v>4557</v>
      </c>
      <c r="D33" s="288">
        <v>1363004</v>
      </c>
      <c r="E33" s="288">
        <v>1816</v>
      </c>
      <c r="F33" s="288">
        <f t="shared" si="5"/>
        <v>8275512</v>
      </c>
      <c r="G33" s="472">
        <v>11230</v>
      </c>
      <c r="H33" s="289">
        <v>1169579</v>
      </c>
      <c r="I33" s="289">
        <v>544</v>
      </c>
      <c r="J33" s="289">
        <f t="shared" si="0"/>
        <v>6109120</v>
      </c>
      <c r="K33" s="290">
        <f t="shared" si="1"/>
        <v>16917215</v>
      </c>
      <c r="L33" s="291">
        <f>'Revenue Offset'!G32</f>
        <v>0.53867318241761786</v>
      </c>
      <c r="M33" s="292">
        <f t="shared" si="2"/>
        <v>7804364.9583069393</v>
      </c>
      <c r="N33" s="286" t="s">
        <v>46</v>
      </c>
      <c r="O33" s="251" t="s">
        <v>70</v>
      </c>
      <c r="P33" s="293"/>
      <c r="Q33" s="292">
        <f t="shared" si="6"/>
        <v>7804364.9583069393</v>
      </c>
      <c r="R33" s="292">
        <v>6904225.6995629305</v>
      </c>
      <c r="S33" s="294">
        <f t="shared" si="4"/>
        <v>7354295.3289349349</v>
      </c>
    </row>
    <row r="34" spans="1:19" x14ac:dyDescent="0.2">
      <c r="A34" s="286" t="s">
        <v>41</v>
      </c>
      <c r="B34" s="251" t="s">
        <v>117</v>
      </c>
      <c r="C34" s="287">
        <f>Summary!D31</f>
        <v>2141</v>
      </c>
      <c r="D34" s="288">
        <v>1363004</v>
      </c>
      <c r="E34" s="288">
        <v>1816</v>
      </c>
      <c r="F34" s="288">
        <f t="shared" si="5"/>
        <v>3888056</v>
      </c>
      <c r="G34" s="472">
        <v>4992</v>
      </c>
      <c r="H34" s="289">
        <v>1169579</v>
      </c>
      <c r="I34" s="289">
        <v>544</v>
      </c>
      <c r="J34" s="289">
        <f t="shared" si="0"/>
        <v>2715648</v>
      </c>
      <c r="K34" s="290">
        <f t="shared" si="1"/>
        <v>9136287</v>
      </c>
      <c r="L34" s="291">
        <f>'Revenue Offset'!G33</f>
        <v>0.44840568936189645</v>
      </c>
      <c r="M34" s="292">
        <f t="shared" si="2"/>
        <v>5039523.929556868</v>
      </c>
      <c r="N34" s="286" t="s">
        <v>41</v>
      </c>
      <c r="O34" s="251" t="s">
        <v>117</v>
      </c>
      <c r="P34" s="293">
        <v>200000</v>
      </c>
      <c r="Q34" s="292">
        <f t="shared" si="6"/>
        <v>5239523.929556868</v>
      </c>
      <c r="R34" s="292">
        <v>4852142.1110927565</v>
      </c>
      <c r="S34" s="294">
        <f t="shared" si="4"/>
        <v>5045833.0203248123</v>
      </c>
    </row>
    <row r="35" spans="1:19" x14ac:dyDescent="0.2">
      <c r="A35" s="286" t="s">
        <v>42</v>
      </c>
      <c r="B35" s="251" t="s">
        <v>69</v>
      </c>
      <c r="C35" s="287">
        <f>Summary!D32</f>
        <v>3608</v>
      </c>
      <c r="D35" s="288">
        <v>4013046</v>
      </c>
      <c r="E35" s="288">
        <v>2014</v>
      </c>
      <c r="F35" s="288">
        <f t="shared" si="5"/>
        <v>7266512</v>
      </c>
      <c r="G35" s="472">
        <v>7558</v>
      </c>
      <c r="H35" s="289">
        <v>2915969</v>
      </c>
      <c r="I35" s="289">
        <v>1124</v>
      </c>
      <c r="J35" s="289">
        <f t="shared" si="0"/>
        <v>8495192</v>
      </c>
      <c r="K35" s="290">
        <f t="shared" si="1"/>
        <v>22690719</v>
      </c>
      <c r="L35" s="291">
        <f>'Revenue Offset'!G34</f>
        <v>0.53002968146986207</v>
      </c>
      <c r="M35" s="292">
        <f t="shared" si="2"/>
        <v>10663964.436107853</v>
      </c>
      <c r="N35" s="286" t="s">
        <v>42</v>
      </c>
      <c r="O35" s="251" t="s">
        <v>69</v>
      </c>
      <c r="P35" s="293"/>
      <c r="Q35" s="292">
        <f t="shared" si="6"/>
        <v>10663964.436107853</v>
      </c>
      <c r="R35" s="292">
        <v>10006267.064366527</v>
      </c>
      <c r="S35" s="294">
        <f t="shared" si="4"/>
        <v>10335115.750237189</v>
      </c>
    </row>
    <row r="36" spans="1:19" x14ac:dyDescent="0.2">
      <c r="A36" s="286" t="s">
        <v>43</v>
      </c>
      <c r="B36" s="251" t="s">
        <v>44</v>
      </c>
      <c r="C36" s="287">
        <f>Summary!D33</f>
        <v>11081</v>
      </c>
      <c r="D36" s="288">
        <v>4013046</v>
      </c>
      <c r="E36" s="288">
        <v>2014</v>
      </c>
      <c r="F36" s="288">
        <f>+C36*E36</f>
        <v>22317134</v>
      </c>
      <c r="G36" s="472">
        <v>17566</v>
      </c>
      <c r="H36" s="289">
        <v>2915969</v>
      </c>
      <c r="I36" s="289">
        <v>1124</v>
      </c>
      <c r="J36" s="289">
        <f t="shared" si="0"/>
        <v>19744184</v>
      </c>
      <c r="K36" s="290">
        <f t="shared" si="1"/>
        <v>48990333</v>
      </c>
      <c r="L36" s="291">
        <f>'Revenue Offset'!G35</f>
        <v>0.58053903257431694</v>
      </c>
      <c r="M36" s="292">
        <f t="shared" si="2"/>
        <v>20549532.474686366</v>
      </c>
      <c r="N36" s="286" t="s">
        <v>43</v>
      </c>
      <c r="O36" s="251" t="s">
        <v>44</v>
      </c>
      <c r="P36" s="293"/>
      <c r="Q36" s="292">
        <f>+M36+P36</f>
        <v>20549532.474686366</v>
      </c>
      <c r="R36" s="292">
        <v>20413895.244898312</v>
      </c>
      <c r="S36" s="294">
        <f t="shared" si="4"/>
        <v>20481713.859792337</v>
      </c>
    </row>
    <row r="37" spans="1:19" x14ac:dyDescent="0.2">
      <c r="A37" s="286" t="s">
        <v>45</v>
      </c>
      <c r="B37" s="251" t="s">
        <v>136</v>
      </c>
      <c r="C37" s="287">
        <f>Summary!D34</f>
        <v>3116</v>
      </c>
      <c r="D37" s="288">
        <v>1363004</v>
      </c>
      <c r="E37" s="288">
        <v>1816</v>
      </c>
      <c r="F37" s="288">
        <f t="shared" si="5"/>
        <v>5658656</v>
      </c>
      <c r="G37" s="472">
        <v>6141</v>
      </c>
      <c r="H37" s="289">
        <v>1169579</v>
      </c>
      <c r="I37" s="289">
        <v>544</v>
      </c>
      <c r="J37" s="289">
        <f t="shared" si="0"/>
        <v>3340704</v>
      </c>
      <c r="K37" s="290">
        <f t="shared" si="1"/>
        <v>11531943</v>
      </c>
      <c r="L37" s="291">
        <f>'Revenue Offset'!G36</f>
        <v>0.52138000733701717</v>
      </c>
      <c r="M37" s="292">
        <f t="shared" si="2"/>
        <v>5519418.474049936</v>
      </c>
      <c r="N37" s="286" t="s">
        <v>45</v>
      </c>
      <c r="O37" s="251" t="s">
        <v>136</v>
      </c>
      <c r="P37" s="293"/>
      <c r="Q37" s="292">
        <f t="shared" si="6"/>
        <v>5519418.474049936</v>
      </c>
      <c r="R37" s="292">
        <v>5059676.3553800089</v>
      </c>
      <c r="S37" s="294">
        <f t="shared" si="4"/>
        <v>5289547.4147149725</v>
      </c>
    </row>
    <row r="38" spans="1:19" x14ac:dyDescent="0.2">
      <c r="A38" s="286" t="s">
        <v>47</v>
      </c>
      <c r="B38" s="251" t="s">
        <v>48</v>
      </c>
      <c r="C38" s="287">
        <f>Summary!D35</f>
        <v>7357</v>
      </c>
      <c r="D38" s="288">
        <v>4013046</v>
      </c>
      <c r="E38" s="288">
        <v>2014</v>
      </c>
      <c r="F38" s="288">
        <f t="shared" si="5"/>
        <v>14816998</v>
      </c>
      <c r="G38" s="472">
        <v>9398</v>
      </c>
      <c r="H38" s="289">
        <v>2915969</v>
      </c>
      <c r="I38" s="289">
        <v>1124</v>
      </c>
      <c r="J38" s="289">
        <f t="shared" si="0"/>
        <v>10563352</v>
      </c>
      <c r="K38" s="290">
        <f t="shared" si="1"/>
        <v>32309365</v>
      </c>
      <c r="L38" s="291">
        <f>'Revenue Offset'!G37</f>
        <v>0.6051392142122235</v>
      </c>
      <c r="M38" s="292">
        <f t="shared" si="2"/>
        <v>12757701.252204083</v>
      </c>
      <c r="N38" s="286" t="s">
        <v>47</v>
      </c>
      <c r="O38" s="251" t="s">
        <v>48</v>
      </c>
      <c r="P38" s="293">
        <v>200000</v>
      </c>
      <c r="Q38" s="292">
        <f t="shared" si="6"/>
        <v>12957701.252204083</v>
      </c>
      <c r="R38" s="292">
        <v>12367268.0205053</v>
      </c>
      <c r="S38" s="294">
        <f t="shared" si="4"/>
        <v>12662484.636354692</v>
      </c>
    </row>
    <row r="39" spans="1:19" x14ac:dyDescent="0.2">
      <c r="B39" s="168"/>
      <c r="K39" s="56"/>
      <c r="L39" s="127"/>
      <c r="M39" s="56"/>
      <c r="O39" s="168"/>
      <c r="P39" s="56"/>
      <c r="Q39" s="213"/>
      <c r="R39" s="213"/>
    </row>
    <row r="40" spans="1:19" x14ac:dyDescent="0.2">
      <c r="B40" s="157" t="s">
        <v>49</v>
      </c>
      <c r="C40" s="55">
        <f>SUM(C9:C39)</f>
        <v>128829</v>
      </c>
      <c r="D40" s="55">
        <f>SUM(D9:D39)</f>
        <v>59440414</v>
      </c>
      <c r="F40" s="55">
        <f>SUM(F9:F39)</f>
        <v>244197984</v>
      </c>
      <c r="G40" s="55">
        <f>SUM(G9:G39)</f>
        <v>255591</v>
      </c>
      <c r="H40" s="55">
        <f>SUM(H9:H39)</f>
        <v>47312100</v>
      </c>
      <c r="J40" s="55">
        <f>SUM(J9:J39)</f>
        <v>186237264</v>
      </c>
      <c r="K40" s="55">
        <f>SUM(K9:K39)</f>
        <v>537187762</v>
      </c>
      <c r="L40" s="102">
        <f>'Revenue Offset'!G39</f>
        <v>0.54195028896308617</v>
      </c>
      <c r="M40" s="55">
        <f t="shared" ref="M40:S40" si="7">SUM(M9:M39)</f>
        <v>247474797.09043798</v>
      </c>
      <c r="O40" s="157" t="s">
        <v>49</v>
      </c>
      <c r="P40" s="55">
        <f t="shared" si="7"/>
        <v>4211000</v>
      </c>
      <c r="Q40" s="55">
        <f t="shared" si="7"/>
        <v>251685797.09043798</v>
      </c>
      <c r="R40" s="55">
        <f t="shared" si="7"/>
        <v>235353115.52680364</v>
      </c>
      <c r="S40" s="55">
        <f t="shared" si="7"/>
        <v>243519456.30862078</v>
      </c>
    </row>
    <row r="41" spans="1:19" x14ac:dyDescent="0.2">
      <c r="B41" s="168"/>
      <c r="L41" s="169"/>
      <c r="O41" s="168"/>
      <c r="Q41" s="169"/>
      <c r="R41" s="169"/>
    </row>
    <row r="42" spans="1:19" x14ac:dyDescent="0.2">
      <c r="A42" s="16" t="s">
        <v>329</v>
      </c>
      <c r="B42" s="170"/>
      <c r="M42" s="171"/>
      <c r="N42" s="129">
        <f>+'[1]FY2015 Detail'!O40</f>
        <v>0</v>
      </c>
      <c r="O42" s="170"/>
    </row>
    <row r="43" spans="1:19" x14ac:dyDescent="0.2">
      <c r="A43" s="129"/>
      <c r="B43" s="170"/>
      <c r="N43" s="129">
        <f>+'[1]FY2015 Detail'!O41</f>
        <v>0</v>
      </c>
      <c r="O43" s="170"/>
    </row>
    <row r="44" spans="1:19" x14ac:dyDescent="0.2">
      <c r="A44" s="129"/>
      <c r="B44" s="170"/>
      <c r="N44" s="129"/>
      <c r="O44" s="170"/>
    </row>
    <row r="45" spans="1:19" x14ac:dyDescent="0.2">
      <c r="J45" s="202"/>
    </row>
    <row r="46" spans="1:19" x14ac:dyDescent="0.2">
      <c r="E46" s="202"/>
      <c r="I46" s="202"/>
      <c r="L46" s="295"/>
      <c r="M46" s="204"/>
      <c r="P46" s="203"/>
    </row>
    <row r="47" spans="1:19" x14ac:dyDescent="0.2">
      <c r="E47" s="202"/>
      <c r="I47" s="202"/>
      <c r="L47" s="295"/>
      <c r="M47" s="204"/>
      <c r="P47" s="203"/>
    </row>
  </sheetData>
  <pageMargins left="0.7" right="0.7" top="0.75" bottom="0.75" header="0.3" footer="0.3"/>
  <pageSetup scale="7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zoomScale="90" zoomScaleNormal="90" workbookViewId="0">
      <selection activeCell="M16" sqref="M16"/>
    </sheetView>
  </sheetViews>
  <sheetFormatPr defaultRowHeight="12.75" x14ac:dyDescent="0.2"/>
  <cols>
    <col min="1" max="1" width="46.28515625" style="309" bestFit="1" customWidth="1"/>
    <col min="2" max="2" width="10" style="309" bestFit="1" customWidth="1"/>
    <col min="3" max="3" width="11.85546875" style="309" customWidth="1"/>
    <col min="4" max="4" width="11.28515625" style="391" customWidth="1"/>
    <col min="5" max="5" width="10" style="391" bestFit="1" customWidth="1"/>
    <col min="6" max="6" width="10" style="391" customWidth="1"/>
    <col min="7" max="7" width="11.85546875" style="391" customWidth="1"/>
    <col min="8" max="8" width="11.28515625" style="391" bestFit="1" customWidth="1"/>
    <col min="9" max="9" width="8" style="309" customWidth="1"/>
    <col min="10" max="10" width="17.28515625" style="309" customWidth="1"/>
    <col min="11" max="11" width="11.5703125" style="309" customWidth="1"/>
    <col min="12" max="12" width="11.28515625" style="309" customWidth="1"/>
    <col min="13" max="13" width="11.5703125" style="309" customWidth="1"/>
    <col min="14" max="14" width="1.5703125" style="309" customWidth="1"/>
    <col min="15" max="15" width="11.42578125" style="309" customWidth="1"/>
    <col min="16" max="16384" width="9.140625" style="309"/>
  </cols>
  <sheetData>
    <row r="1" spans="1:13" x14ac:dyDescent="0.2">
      <c r="A1" s="495" t="s">
        <v>253</v>
      </c>
      <c r="B1" s="495"/>
      <c r="C1" s="495"/>
      <c r="D1" s="495"/>
      <c r="E1" s="495"/>
      <c r="F1" s="495"/>
      <c r="G1" s="495"/>
      <c r="H1" s="495"/>
      <c r="I1" s="495"/>
      <c r="J1" s="308"/>
      <c r="K1" s="461" t="s">
        <v>287</v>
      </c>
      <c r="L1" s="308" t="s">
        <v>207</v>
      </c>
      <c r="M1" s="308" t="s">
        <v>214</v>
      </c>
    </row>
    <row r="2" spans="1:13" x14ac:dyDescent="0.2">
      <c r="A2" s="306" t="s">
        <v>230</v>
      </c>
      <c r="B2" s="306"/>
      <c r="C2" s="306"/>
      <c r="D2" s="307"/>
      <c r="E2" s="307"/>
      <c r="F2" s="307"/>
      <c r="G2" s="307"/>
      <c r="H2" s="307"/>
      <c r="I2" s="306"/>
      <c r="J2" s="309" t="s">
        <v>231</v>
      </c>
      <c r="L2" s="310">
        <v>0.1</v>
      </c>
      <c r="M2" s="310">
        <v>0.1</v>
      </c>
    </row>
    <row r="3" spans="1:13" x14ac:dyDescent="0.2">
      <c r="A3" s="496" t="s">
        <v>315</v>
      </c>
      <c r="B3" s="496"/>
      <c r="C3" s="496"/>
      <c r="D3" s="496"/>
      <c r="E3" s="496"/>
      <c r="F3" s="496"/>
      <c r="G3" s="496"/>
      <c r="H3" s="496"/>
      <c r="I3" s="496"/>
      <c r="J3" s="309" t="s">
        <v>232</v>
      </c>
      <c r="L3" s="310">
        <v>0.75</v>
      </c>
      <c r="M3" s="310">
        <v>0.75</v>
      </c>
    </row>
    <row r="4" spans="1:13" ht="15.6" customHeight="1" thickBot="1" x14ac:dyDescent="0.25">
      <c r="B4" s="311" t="s">
        <v>79</v>
      </c>
      <c r="C4" s="311" t="s">
        <v>74</v>
      </c>
      <c r="D4" s="311" t="s">
        <v>75</v>
      </c>
      <c r="E4" s="311" t="s">
        <v>76</v>
      </c>
      <c r="F4" s="311" t="s">
        <v>77</v>
      </c>
      <c r="G4" s="311" t="s">
        <v>78</v>
      </c>
      <c r="H4" s="311" t="s">
        <v>233</v>
      </c>
      <c r="I4" s="312"/>
      <c r="J4" s="313" t="s">
        <v>234</v>
      </c>
      <c r="K4" s="313" t="s">
        <v>111</v>
      </c>
      <c r="L4" s="313" t="s">
        <v>235</v>
      </c>
      <c r="M4" s="313" t="s">
        <v>236</v>
      </c>
    </row>
    <row r="5" spans="1:13" s="323" customFormat="1" ht="77.25" thickBot="1" x14ac:dyDescent="0.25">
      <c r="A5" s="314" t="s">
        <v>207</v>
      </c>
      <c r="B5" s="315" t="s">
        <v>237</v>
      </c>
      <c r="C5" s="316" t="s">
        <v>238</v>
      </c>
      <c r="D5" s="317" t="s">
        <v>239</v>
      </c>
      <c r="E5" s="317" t="s">
        <v>240</v>
      </c>
      <c r="F5" s="317" t="s">
        <v>241</v>
      </c>
      <c r="G5" s="318" t="s">
        <v>242</v>
      </c>
      <c r="H5" s="317" t="s">
        <v>243</v>
      </c>
      <c r="I5" s="319" t="s">
        <v>244</v>
      </c>
      <c r="J5" s="320" t="s">
        <v>245</v>
      </c>
      <c r="K5" s="321" t="s">
        <v>246</v>
      </c>
      <c r="L5" s="320" t="s">
        <v>247</v>
      </c>
      <c r="M5" s="322" t="s">
        <v>248</v>
      </c>
    </row>
    <row r="6" spans="1:13" s="334" customFormat="1" ht="12.75" customHeight="1" x14ac:dyDescent="0.2">
      <c r="A6" s="324" t="s">
        <v>189</v>
      </c>
      <c r="B6" s="325">
        <v>4051</v>
      </c>
      <c r="C6" s="326">
        <v>424</v>
      </c>
      <c r="D6" s="327">
        <v>528</v>
      </c>
      <c r="E6" s="327">
        <v>777</v>
      </c>
      <c r="F6" s="374">
        <v>350</v>
      </c>
      <c r="G6" s="375">
        <v>44</v>
      </c>
      <c r="H6" s="328">
        <f>SUM(D6:F6)-G6</f>
        <v>1611</v>
      </c>
      <c r="I6" s="329">
        <f t="shared" ref="I6:I21" si="0">H6/H$48</f>
        <v>9.0028165236051508E-3</v>
      </c>
      <c r="J6" s="330">
        <f t="shared" ref="J6:J36" si="1">H6*$L$2</f>
        <v>161.10000000000002</v>
      </c>
      <c r="K6" s="331">
        <f>C6*L3</f>
        <v>318</v>
      </c>
      <c r="L6" s="332">
        <f t="shared" ref="L6:L36" si="2">(B6-C6)+J6+K6</f>
        <v>4106.1000000000004</v>
      </c>
      <c r="M6" s="333">
        <f t="shared" ref="M6:M37" si="3">(L6+-B6)/B6</f>
        <v>1.3601579856825564E-2</v>
      </c>
    </row>
    <row r="7" spans="1:13" s="334" customFormat="1" x14ac:dyDescent="0.2">
      <c r="A7" s="335" t="s">
        <v>190</v>
      </c>
      <c r="B7" s="325">
        <v>11898</v>
      </c>
      <c r="C7" s="326">
        <v>2251</v>
      </c>
      <c r="D7" s="327">
        <v>1713</v>
      </c>
      <c r="E7" s="327">
        <v>3159</v>
      </c>
      <c r="F7" s="336">
        <v>2849</v>
      </c>
      <c r="G7" s="337">
        <v>670</v>
      </c>
      <c r="H7" s="338">
        <f>SUM(D7:F7)-G7</f>
        <v>7051</v>
      </c>
      <c r="I7" s="333">
        <f t="shared" si="0"/>
        <v>3.9403388769670956E-2</v>
      </c>
      <c r="J7" s="339">
        <f t="shared" si="1"/>
        <v>705.1</v>
      </c>
      <c r="K7" s="340">
        <f t="shared" ref="K7:K36" si="4">C7*$L$3</f>
        <v>1688.25</v>
      </c>
      <c r="L7" s="341">
        <f t="shared" si="2"/>
        <v>12040.35</v>
      </c>
      <c r="M7" s="333">
        <f t="shared" si="3"/>
        <v>1.1964195663136692E-2</v>
      </c>
    </row>
    <row r="8" spans="1:13" s="334" customFormat="1" x14ac:dyDescent="0.2">
      <c r="A8" s="335" t="s">
        <v>191</v>
      </c>
      <c r="B8" s="325">
        <v>2605</v>
      </c>
      <c r="C8" s="326">
        <v>265</v>
      </c>
      <c r="D8" s="327">
        <v>477</v>
      </c>
      <c r="E8" s="327">
        <v>920</v>
      </c>
      <c r="F8" s="336">
        <v>592</v>
      </c>
      <c r="G8" s="337">
        <v>99</v>
      </c>
      <c r="H8" s="338">
        <f t="shared" ref="H8:H35" si="5">SUM(D8:F8)-G8</f>
        <v>1890</v>
      </c>
      <c r="I8" s="333">
        <f t="shared" si="0"/>
        <v>1.0561963519313305E-2</v>
      </c>
      <c r="J8" s="339">
        <f t="shared" si="1"/>
        <v>189</v>
      </c>
      <c r="K8" s="340">
        <f t="shared" si="4"/>
        <v>198.75</v>
      </c>
      <c r="L8" s="341">
        <f t="shared" si="2"/>
        <v>2727.75</v>
      </c>
      <c r="M8" s="333">
        <f t="shared" si="3"/>
        <v>4.7120921305182341E-2</v>
      </c>
    </row>
    <row r="9" spans="1:13" s="334" customFormat="1" x14ac:dyDescent="0.2">
      <c r="A9" s="335" t="s">
        <v>7</v>
      </c>
      <c r="B9" s="325">
        <v>5334</v>
      </c>
      <c r="C9" s="326">
        <v>2022</v>
      </c>
      <c r="D9" s="327">
        <v>837</v>
      </c>
      <c r="E9" s="327">
        <v>1408</v>
      </c>
      <c r="F9" s="336">
        <v>559</v>
      </c>
      <c r="G9" s="337">
        <v>319</v>
      </c>
      <c r="H9" s="338">
        <f t="shared" si="5"/>
        <v>2485</v>
      </c>
      <c r="I9" s="333">
        <f t="shared" si="0"/>
        <v>1.3887026108726752E-2</v>
      </c>
      <c r="J9" s="339">
        <f t="shared" si="1"/>
        <v>248.5</v>
      </c>
      <c r="K9" s="340">
        <f t="shared" si="4"/>
        <v>1516.5</v>
      </c>
      <c r="L9" s="341">
        <f t="shared" si="2"/>
        <v>5077</v>
      </c>
      <c r="M9" s="333">
        <f t="shared" si="3"/>
        <v>-4.8181477315335584E-2</v>
      </c>
    </row>
    <row r="10" spans="1:13" s="334" customFormat="1" x14ac:dyDescent="0.2">
      <c r="A10" s="335" t="s">
        <v>9</v>
      </c>
      <c r="B10" s="325">
        <v>12440</v>
      </c>
      <c r="C10" s="326">
        <v>675</v>
      </c>
      <c r="D10" s="327">
        <v>2666</v>
      </c>
      <c r="E10" s="327">
        <v>4737</v>
      </c>
      <c r="F10" s="336">
        <v>4882</v>
      </c>
      <c r="G10" s="337">
        <v>235</v>
      </c>
      <c r="H10" s="338">
        <f t="shared" si="5"/>
        <v>12050</v>
      </c>
      <c r="I10" s="333">
        <f t="shared" si="0"/>
        <v>6.7339502861230333E-2</v>
      </c>
      <c r="J10" s="339">
        <f t="shared" si="1"/>
        <v>1205</v>
      </c>
      <c r="K10" s="340">
        <f t="shared" si="4"/>
        <v>506.25</v>
      </c>
      <c r="L10" s="341">
        <f t="shared" si="2"/>
        <v>13476.25</v>
      </c>
      <c r="M10" s="333">
        <f t="shared" si="3"/>
        <v>8.3299839228295813E-2</v>
      </c>
    </row>
    <row r="11" spans="1:13" s="334" customFormat="1" x14ac:dyDescent="0.2">
      <c r="A11" s="335" t="s">
        <v>192</v>
      </c>
      <c r="B11" s="325">
        <v>3566</v>
      </c>
      <c r="C11" s="326"/>
      <c r="D11" s="327">
        <v>643</v>
      </c>
      <c r="E11" s="327">
        <v>1123</v>
      </c>
      <c r="F11" s="336">
        <v>876</v>
      </c>
      <c r="G11" s="337"/>
      <c r="H11" s="338">
        <f t="shared" si="5"/>
        <v>2642</v>
      </c>
      <c r="I11" s="333">
        <f t="shared" si="0"/>
        <v>1.4764395565092989E-2</v>
      </c>
      <c r="J11" s="339">
        <f t="shared" si="1"/>
        <v>264.2</v>
      </c>
      <c r="K11" s="340">
        <f t="shared" si="4"/>
        <v>0</v>
      </c>
      <c r="L11" s="341">
        <f t="shared" si="2"/>
        <v>3830.2</v>
      </c>
      <c r="M11" s="333">
        <f t="shared" si="3"/>
        <v>7.4088614694335336E-2</v>
      </c>
    </row>
    <row r="12" spans="1:13" s="334" customFormat="1" x14ac:dyDescent="0.2">
      <c r="A12" s="335" t="s">
        <v>221</v>
      </c>
      <c r="B12" s="325">
        <v>2389</v>
      </c>
      <c r="C12" s="326">
        <v>1331</v>
      </c>
      <c r="D12" s="327">
        <v>331</v>
      </c>
      <c r="E12" s="327">
        <v>626</v>
      </c>
      <c r="F12" s="336">
        <v>549</v>
      </c>
      <c r="G12" s="337">
        <v>224</v>
      </c>
      <c r="H12" s="338">
        <f t="shared" si="5"/>
        <v>1282</v>
      </c>
      <c r="I12" s="333">
        <f t="shared" si="0"/>
        <v>7.1642525035765375E-3</v>
      </c>
      <c r="J12" s="339">
        <f t="shared" si="1"/>
        <v>128.20000000000002</v>
      </c>
      <c r="K12" s="340">
        <f t="shared" si="4"/>
        <v>998.25</v>
      </c>
      <c r="L12" s="341">
        <f t="shared" si="2"/>
        <v>2184.4499999999998</v>
      </c>
      <c r="M12" s="333">
        <f t="shared" si="3"/>
        <v>-8.5621598995395634E-2</v>
      </c>
    </row>
    <row r="13" spans="1:13" s="334" customFormat="1" x14ac:dyDescent="0.2">
      <c r="A13" s="335" t="s">
        <v>139</v>
      </c>
      <c r="B13" s="325">
        <v>7151</v>
      </c>
      <c r="C13" s="326">
        <v>479</v>
      </c>
      <c r="D13" s="327">
        <v>1851</v>
      </c>
      <c r="E13" s="327">
        <v>2849</v>
      </c>
      <c r="F13" s="336">
        <v>3152</v>
      </c>
      <c r="G13" s="337">
        <v>98</v>
      </c>
      <c r="H13" s="338">
        <f t="shared" si="5"/>
        <v>7754</v>
      </c>
      <c r="I13" s="333">
        <f t="shared" si="0"/>
        <v>4.3331992131616592E-2</v>
      </c>
      <c r="J13" s="339">
        <f t="shared" si="1"/>
        <v>775.40000000000009</v>
      </c>
      <c r="K13" s="340">
        <f t="shared" si="4"/>
        <v>359.25</v>
      </c>
      <c r="L13" s="341">
        <f t="shared" si="2"/>
        <v>7806.65</v>
      </c>
      <c r="M13" s="333">
        <f t="shared" si="3"/>
        <v>9.1686477415745996E-2</v>
      </c>
    </row>
    <row r="14" spans="1:13" s="334" customFormat="1" x14ac:dyDescent="0.2">
      <c r="A14" s="335" t="s">
        <v>193</v>
      </c>
      <c r="B14" s="325">
        <v>6767</v>
      </c>
      <c r="C14" s="326">
        <v>118</v>
      </c>
      <c r="D14" s="327">
        <v>1122</v>
      </c>
      <c r="E14" s="327">
        <v>1828</v>
      </c>
      <c r="F14" s="336">
        <v>2173</v>
      </c>
      <c r="G14" s="337">
        <v>39</v>
      </c>
      <c r="H14" s="338">
        <f t="shared" si="5"/>
        <v>5084</v>
      </c>
      <c r="I14" s="333">
        <f t="shared" si="0"/>
        <v>2.8411123032904148E-2</v>
      </c>
      <c r="J14" s="339">
        <f t="shared" si="1"/>
        <v>508.40000000000003</v>
      </c>
      <c r="K14" s="340">
        <f t="shared" si="4"/>
        <v>88.5</v>
      </c>
      <c r="L14" s="341">
        <f t="shared" si="2"/>
        <v>7245.9</v>
      </c>
      <c r="M14" s="333">
        <f t="shared" si="3"/>
        <v>7.0769912812176691E-2</v>
      </c>
    </row>
    <row r="15" spans="1:13" s="334" customFormat="1" x14ac:dyDescent="0.2">
      <c r="A15" s="335" t="s">
        <v>17</v>
      </c>
      <c r="B15" s="325">
        <v>7873</v>
      </c>
      <c r="C15" s="326">
        <v>1327</v>
      </c>
      <c r="D15" s="327">
        <v>1081</v>
      </c>
      <c r="E15" s="327">
        <v>1827</v>
      </c>
      <c r="F15" s="336">
        <v>1026</v>
      </c>
      <c r="G15" s="337">
        <v>183</v>
      </c>
      <c r="H15" s="338">
        <f t="shared" si="5"/>
        <v>3751</v>
      </c>
      <c r="I15" s="333">
        <f t="shared" si="0"/>
        <v>2.0961865164520744E-2</v>
      </c>
      <c r="J15" s="339">
        <f t="shared" si="1"/>
        <v>375.1</v>
      </c>
      <c r="K15" s="340">
        <f t="shared" si="4"/>
        <v>995.25</v>
      </c>
      <c r="L15" s="341">
        <f t="shared" si="2"/>
        <v>7916.35</v>
      </c>
      <c r="M15" s="333">
        <f t="shared" si="3"/>
        <v>5.5061602946780593E-3</v>
      </c>
    </row>
    <row r="16" spans="1:13" s="334" customFormat="1" x14ac:dyDescent="0.2">
      <c r="A16" s="335" t="s">
        <v>194</v>
      </c>
      <c r="B16" s="325">
        <v>10724</v>
      </c>
      <c r="C16" s="326">
        <v>456</v>
      </c>
      <c r="D16" s="327">
        <v>2690</v>
      </c>
      <c r="E16" s="327">
        <v>4836</v>
      </c>
      <c r="F16" s="336">
        <v>5920</v>
      </c>
      <c r="G16" s="337">
        <v>252</v>
      </c>
      <c r="H16" s="338">
        <f t="shared" si="5"/>
        <v>13194</v>
      </c>
      <c r="I16" s="333">
        <f t="shared" si="0"/>
        <v>7.37325643776824E-2</v>
      </c>
      <c r="J16" s="339">
        <f t="shared" si="1"/>
        <v>1319.4</v>
      </c>
      <c r="K16" s="340">
        <f t="shared" si="4"/>
        <v>342</v>
      </c>
      <c r="L16" s="341">
        <f t="shared" si="2"/>
        <v>11929.4</v>
      </c>
      <c r="M16" s="333">
        <f t="shared" si="3"/>
        <v>0.11240208877284592</v>
      </c>
    </row>
    <row r="17" spans="1:13" s="334" customFormat="1" x14ac:dyDescent="0.2">
      <c r="A17" s="335" t="s">
        <v>195</v>
      </c>
      <c r="B17" s="325">
        <v>2762</v>
      </c>
      <c r="C17" s="326">
        <v>297</v>
      </c>
      <c r="D17" s="327">
        <v>480</v>
      </c>
      <c r="E17" s="327">
        <v>836</v>
      </c>
      <c r="F17" s="336">
        <v>443</v>
      </c>
      <c r="G17" s="337">
        <v>50</v>
      </c>
      <c r="H17" s="338">
        <f t="shared" si="5"/>
        <v>1709</v>
      </c>
      <c r="I17" s="333">
        <f t="shared" si="0"/>
        <v>9.5504738912732482E-3</v>
      </c>
      <c r="J17" s="339">
        <f t="shared" si="1"/>
        <v>170.9</v>
      </c>
      <c r="K17" s="340">
        <f t="shared" si="4"/>
        <v>222.75</v>
      </c>
      <c r="L17" s="341">
        <f t="shared" si="2"/>
        <v>2858.65</v>
      </c>
      <c r="M17" s="333">
        <f t="shared" si="3"/>
        <v>3.4992758870383812E-2</v>
      </c>
    </row>
    <row r="18" spans="1:13" s="334" customFormat="1" x14ac:dyDescent="0.2">
      <c r="A18" s="335" t="s">
        <v>196</v>
      </c>
      <c r="B18" s="325">
        <v>8125</v>
      </c>
      <c r="C18" s="326">
        <v>1843</v>
      </c>
      <c r="D18" s="327">
        <v>1403</v>
      </c>
      <c r="E18" s="327">
        <v>2760</v>
      </c>
      <c r="F18" s="336">
        <v>1594</v>
      </c>
      <c r="G18" s="337">
        <v>250</v>
      </c>
      <c r="H18" s="338">
        <f t="shared" si="5"/>
        <v>5507</v>
      </c>
      <c r="I18" s="333">
        <f t="shared" si="0"/>
        <v>3.0774991058655221E-2</v>
      </c>
      <c r="J18" s="339">
        <f t="shared" si="1"/>
        <v>550.70000000000005</v>
      </c>
      <c r="K18" s="340">
        <f t="shared" si="4"/>
        <v>1382.25</v>
      </c>
      <c r="L18" s="341">
        <f t="shared" si="2"/>
        <v>8214.9500000000007</v>
      </c>
      <c r="M18" s="333">
        <f t="shared" si="3"/>
        <v>1.107076923076932E-2</v>
      </c>
    </row>
    <row r="19" spans="1:13" s="334" customFormat="1" x14ac:dyDescent="0.2">
      <c r="A19" s="335" t="s">
        <v>223</v>
      </c>
      <c r="B19" s="325">
        <v>4724</v>
      </c>
      <c r="C19" s="326">
        <v>597</v>
      </c>
      <c r="D19" s="327">
        <v>946</v>
      </c>
      <c r="E19" s="327">
        <v>1192</v>
      </c>
      <c r="F19" s="336">
        <v>962</v>
      </c>
      <c r="G19" s="337">
        <v>210</v>
      </c>
      <c r="H19" s="338">
        <f t="shared" si="5"/>
        <v>2890</v>
      </c>
      <c r="I19" s="333">
        <f t="shared" si="0"/>
        <v>1.6150304005722461E-2</v>
      </c>
      <c r="J19" s="339">
        <f t="shared" si="1"/>
        <v>289</v>
      </c>
      <c r="K19" s="340">
        <f t="shared" si="4"/>
        <v>447.75</v>
      </c>
      <c r="L19" s="341">
        <f t="shared" si="2"/>
        <v>4863.75</v>
      </c>
      <c r="M19" s="333">
        <f t="shared" si="3"/>
        <v>2.9582980524978833E-2</v>
      </c>
    </row>
    <row r="20" spans="1:13" s="334" customFormat="1" x14ac:dyDescent="0.2">
      <c r="A20" s="335" t="s">
        <v>132</v>
      </c>
      <c r="B20" s="325">
        <v>14942</v>
      </c>
      <c r="C20" s="326">
        <v>813</v>
      </c>
      <c r="D20" s="327">
        <v>2668</v>
      </c>
      <c r="E20" s="327">
        <v>4295</v>
      </c>
      <c r="F20" s="336">
        <v>5579</v>
      </c>
      <c r="G20" s="337">
        <v>410</v>
      </c>
      <c r="H20" s="338">
        <f t="shared" si="5"/>
        <v>12132</v>
      </c>
      <c r="I20" s="333">
        <f t="shared" si="0"/>
        <v>6.7797746781115886E-2</v>
      </c>
      <c r="J20" s="339">
        <f t="shared" si="1"/>
        <v>1213.2</v>
      </c>
      <c r="K20" s="340">
        <f t="shared" si="4"/>
        <v>609.75</v>
      </c>
      <c r="L20" s="341">
        <f t="shared" si="2"/>
        <v>15951.95</v>
      </c>
      <c r="M20" s="333">
        <f t="shared" si="3"/>
        <v>6.7591353232499041E-2</v>
      </c>
    </row>
    <row r="21" spans="1:13" s="334" customFormat="1" x14ac:dyDescent="0.2">
      <c r="A21" s="342" t="s">
        <v>133</v>
      </c>
      <c r="B21" s="325">
        <v>9742</v>
      </c>
      <c r="C21" s="326">
        <v>600</v>
      </c>
      <c r="D21" s="327">
        <v>2133</v>
      </c>
      <c r="E21" s="327">
        <v>3576</v>
      </c>
      <c r="F21" s="336">
        <v>4654</v>
      </c>
      <c r="G21" s="337">
        <v>108</v>
      </c>
      <c r="H21" s="338">
        <f t="shared" si="5"/>
        <v>10255</v>
      </c>
      <c r="I21" s="333">
        <f t="shared" si="0"/>
        <v>5.7308431688125896E-2</v>
      </c>
      <c r="J21" s="339">
        <f t="shared" si="1"/>
        <v>1025.5</v>
      </c>
      <c r="K21" s="340">
        <f t="shared" si="4"/>
        <v>450</v>
      </c>
      <c r="L21" s="341">
        <f t="shared" si="2"/>
        <v>10617.5</v>
      </c>
      <c r="M21" s="333">
        <f t="shared" si="3"/>
        <v>8.986861014165469E-2</v>
      </c>
    </row>
    <row r="22" spans="1:13" s="334" customFormat="1" x14ac:dyDescent="0.2">
      <c r="A22" s="343" t="s">
        <v>63</v>
      </c>
      <c r="B22" s="344">
        <v>6564</v>
      </c>
      <c r="C22" s="345">
        <v>1385</v>
      </c>
      <c r="D22" s="346">
        <v>1063</v>
      </c>
      <c r="E22" s="346">
        <v>2102</v>
      </c>
      <c r="F22" s="346">
        <v>1135</v>
      </c>
      <c r="G22" s="345">
        <v>271</v>
      </c>
      <c r="H22" s="347">
        <f t="shared" si="5"/>
        <v>4029</v>
      </c>
      <c r="I22" s="348">
        <f t="shared" ref="I22" si="6">SUM(I23:I27)</f>
        <v>2.2515423819742489E-2</v>
      </c>
      <c r="J22" s="349">
        <f t="shared" si="1"/>
        <v>402.90000000000003</v>
      </c>
      <c r="K22" s="350">
        <f t="shared" si="4"/>
        <v>1038.75</v>
      </c>
      <c r="L22" s="351">
        <f t="shared" si="2"/>
        <v>6620.65</v>
      </c>
      <c r="M22" s="333">
        <f t="shared" si="3"/>
        <v>8.6304082876294385E-3</v>
      </c>
    </row>
    <row r="23" spans="1:13" s="334" customFormat="1" x14ac:dyDescent="0.2">
      <c r="A23" s="352" t="s">
        <v>224</v>
      </c>
      <c r="B23" s="325">
        <v>1572</v>
      </c>
      <c r="C23" s="326">
        <v>145</v>
      </c>
      <c r="D23" s="327">
        <v>293</v>
      </c>
      <c r="E23" s="327">
        <v>635</v>
      </c>
      <c r="F23" s="336">
        <v>235</v>
      </c>
      <c r="G23" s="337">
        <v>24</v>
      </c>
      <c r="H23" s="338">
        <f t="shared" si="5"/>
        <v>1139</v>
      </c>
      <c r="I23" s="333">
        <f t="shared" ref="I23:I36" si="7">H23/H$48</f>
        <v>6.3651198140200283E-3</v>
      </c>
      <c r="J23" s="339">
        <f t="shared" si="1"/>
        <v>113.9</v>
      </c>
      <c r="K23" s="340">
        <f t="shared" si="4"/>
        <v>108.75</v>
      </c>
      <c r="L23" s="341">
        <f t="shared" si="2"/>
        <v>1649.65</v>
      </c>
      <c r="M23" s="333">
        <f t="shared" si="3"/>
        <v>4.9395674300254509E-2</v>
      </c>
    </row>
    <row r="24" spans="1:13" s="334" customFormat="1" x14ac:dyDescent="0.2">
      <c r="A24" s="352" t="s">
        <v>225</v>
      </c>
      <c r="B24" s="325">
        <v>1718</v>
      </c>
      <c r="C24" s="326">
        <v>285</v>
      </c>
      <c r="D24" s="327">
        <v>279</v>
      </c>
      <c r="E24" s="327">
        <v>565</v>
      </c>
      <c r="F24" s="336">
        <v>306</v>
      </c>
      <c r="G24" s="337">
        <v>70</v>
      </c>
      <c r="H24" s="338">
        <f t="shared" si="5"/>
        <v>1080</v>
      </c>
      <c r="I24" s="333">
        <f t="shared" si="7"/>
        <v>6.0354077253218881E-3</v>
      </c>
      <c r="J24" s="339">
        <f t="shared" si="1"/>
        <v>108</v>
      </c>
      <c r="K24" s="340">
        <f t="shared" si="4"/>
        <v>213.75</v>
      </c>
      <c r="L24" s="341">
        <f t="shared" si="2"/>
        <v>1754.75</v>
      </c>
      <c r="M24" s="333">
        <f t="shared" si="3"/>
        <v>2.1391152502910359E-2</v>
      </c>
    </row>
    <row r="25" spans="1:13" s="334" customFormat="1" x14ac:dyDescent="0.2">
      <c r="A25" s="352" t="s">
        <v>226</v>
      </c>
      <c r="B25" s="325">
        <v>1844</v>
      </c>
      <c r="C25" s="326">
        <v>590</v>
      </c>
      <c r="D25" s="327">
        <v>294</v>
      </c>
      <c r="E25" s="327">
        <v>514</v>
      </c>
      <c r="F25" s="336">
        <v>317</v>
      </c>
      <c r="G25" s="337">
        <v>121</v>
      </c>
      <c r="H25" s="338">
        <f t="shared" si="5"/>
        <v>1004</v>
      </c>
      <c r="I25" s="333">
        <f t="shared" si="7"/>
        <v>5.6106938483547926E-3</v>
      </c>
      <c r="J25" s="339">
        <f t="shared" si="1"/>
        <v>100.4</v>
      </c>
      <c r="K25" s="340">
        <f t="shared" si="4"/>
        <v>442.5</v>
      </c>
      <c r="L25" s="341">
        <f t="shared" si="2"/>
        <v>1796.9</v>
      </c>
      <c r="M25" s="333">
        <f t="shared" si="3"/>
        <v>-2.5542299349240731E-2</v>
      </c>
    </row>
    <row r="26" spans="1:13" s="334" customFormat="1" x14ac:dyDescent="0.2">
      <c r="A26" s="352" t="s">
        <v>227</v>
      </c>
      <c r="B26" s="325">
        <v>482</v>
      </c>
      <c r="C26" s="326">
        <v>68</v>
      </c>
      <c r="D26" s="327">
        <v>80</v>
      </c>
      <c r="E26" s="327">
        <v>128</v>
      </c>
      <c r="F26" s="336">
        <v>113</v>
      </c>
      <c r="G26" s="337">
        <v>15</v>
      </c>
      <c r="H26" s="338">
        <f t="shared" si="5"/>
        <v>306</v>
      </c>
      <c r="I26" s="333">
        <f t="shared" si="7"/>
        <v>1.7100321888412018E-3</v>
      </c>
      <c r="J26" s="339">
        <f t="shared" si="1"/>
        <v>30.6</v>
      </c>
      <c r="K26" s="340">
        <f t="shared" si="4"/>
        <v>51</v>
      </c>
      <c r="L26" s="341">
        <f t="shared" si="2"/>
        <v>495.6</v>
      </c>
      <c r="M26" s="333">
        <f t="shared" si="3"/>
        <v>2.8215767634854817E-2</v>
      </c>
    </row>
    <row r="27" spans="1:13" s="334" customFormat="1" x14ac:dyDescent="0.2">
      <c r="A27" s="352" t="s">
        <v>228</v>
      </c>
      <c r="B27" s="325">
        <v>948</v>
      </c>
      <c r="C27" s="326">
        <v>297</v>
      </c>
      <c r="D27" s="327">
        <v>117</v>
      </c>
      <c r="E27" s="327">
        <v>260</v>
      </c>
      <c r="F27" s="336">
        <v>164</v>
      </c>
      <c r="G27" s="337">
        <v>41</v>
      </c>
      <c r="H27" s="338">
        <f t="shared" si="5"/>
        <v>500</v>
      </c>
      <c r="I27" s="333">
        <f t="shared" si="7"/>
        <v>2.7941702432045779E-3</v>
      </c>
      <c r="J27" s="339">
        <f t="shared" si="1"/>
        <v>50</v>
      </c>
      <c r="K27" s="340">
        <f t="shared" si="4"/>
        <v>222.75</v>
      </c>
      <c r="L27" s="341">
        <f t="shared" si="2"/>
        <v>923.75</v>
      </c>
      <c r="M27" s="333">
        <f t="shared" si="3"/>
        <v>-2.5580168776371308E-2</v>
      </c>
    </row>
    <row r="28" spans="1:13" s="334" customFormat="1" x14ac:dyDescent="0.2">
      <c r="A28" s="335" t="s">
        <v>229</v>
      </c>
      <c r="B28" s="325">
        <v>4583</v>
      </c>
      <c r="C28" s="326">
        <v>413</v>
      </c>
      <c r="D28" s="327">
        <v>818</v>
      </c>
      <c r="E28" s="327">
        <v>1423</v>
      </c>
      <c r="F28" s="336">
        <v>874</v>
      </c>
      <c r="G28" s="337">
        <v>84</v>
      </c>
      <c r="H28" s="338">
        <f t="shared" si="5"/>
        <v>3031</v>
      </c>
      <c r="I28" s="333">
        <f t="shared" si="7"/>
        <v>1.693826001430615E-2</v>
      </c>
      <c r="J28" s="339">
        <f t="shared" si="1"/>
        <v>303.10000000000002</v>
      </c>
      <c r="K28" s="340">
        <f t="shared" si="4"/>
        <v>309.75</v>
      </c>
      <c r="L28" s="341">
        <f t="shared" si="2"/>
        <v>4782.8500000000004</v>
      </c>
      <c r="M28" s="333">
        <f t="shared" si="3"/>
        <v>4.3606807767837742E-2</v>
      </c>
    </row>
    <row r="29" spans="1:13" s="334" customFormat="1" x14ac:dyDescent="0.2">
      <c r="A29" s="335" t="s">
        <v>203</v>
      </c>
      <c r="B29" s="325">
        <v>1739</v>
      </c>
      <c r="C29" s="326">
        <v>0</v>
      </c>
      <c r="D29" s="327">
        <v>293</v>
      </c>
      <c r="E29" s="327">
        <v>502</v>
      </c>
      <c r="F29" s="336">
        <v>330</v>
      </c>
      <c r="G29" s="337"/>
      <c r="H29" s="338">
        <f t="shared" si="5"/>
        <v>1125</v>
      </c>
      <c r="I29" s="333">
        <f t="shared" si="7"/>
        <v>6.2868830472103008E-3</v>
      </c>
      <c r="J29" s="339">
        <f t="shared" si="1"/>
        <v>112.5</v>
      </c>
      <c r="K29" s="340">
        <f t="shared" si="4"/>
        <v>0</v>
      </c>
      <c r="L29" s="341">
        <f t="shared" si="2"/>
        <v>1851.5</v>
      </c>
      <c r="M29" s="333">
        <f t="shared" si="3"/>
        <v>6.4692351926394484E-2</v>
      </c>
    </row>
    <row r="30" spans="1:13" s="334" customFormat="1" x14ac:dyDescent="0.2">
      <c r="A30" s="335" t="s">
        <v>204</v>
      </c>
      <c r="B30" s="325">
        <v>2687</v>
      </c>
      <c r="C30" s="326">
        <v>1403</v>
      </c>
      <c r="D30" s="327">
        <v>492</v>
      </c>
      <c r="E30" s="327">
        <v>564</v>
      </c>
      <c r="F30" s="336">
        <v>353</v>
      </c>
      <c r="G30" s="337">
        <v>314</v>
      </c>
      <c r="H30" s="338">
        <f t="shared" si="5"/>
        <v>1095</v>
      </c>
      <c r="I30" s="333">
        <f t="shared" si="7"/>
        <v>6.1192328326180254E-3</v>
      </c>
      <c r="J30" s="339">
        <f t="shared" si="1"/>
        <v>109.5</v>
      </c>
      <c r="K30" s="340">
        <f t="shared" si="4"/>
        <v>1052.25</v>
      </c>
      <c r="L30" s="341">
        <f t="shared" si="2"/>
        <v>2445.75</v>
      </c>
      <c r="M30" s="333">
        <f t="shared" si="3"/>
        <v>-8.9784145887606998E-2</v>
      </c>
    </row>
    <row r="31" spans="1:13" s="334" customFormat="1" x14ac:dyDescent="0.2">
      <c r="A31" s="335" t="s">
        <v>36</v>
      </c>
      <c r="B31" s="325">
        <v>4758</v>
      </c>
      <c r="C31" s="326">
        <v>152</v>
      </c>
      <c r="D31" s="327">
        <v>977</v>
      </c>
      <c r="E31" s="327">
        <v>1646</v>
      </c>
      <c r="F31" s="336">
        <v>812</v>
      </c>
      <c r="G31" s="337">
        <v>32</v>
      </c>
      <c r="H31" s="338">
        <f t="shared" si="5"/>
        <v>3403</v>
      </c>
      <c r="I31" s="333">
        <f t="shared" si="7"/>
        <v>1.9017122675250357E-2</v>
      </c>
      <c r="J31" s="339">
        <f t="shared" si="1"/>
        <v>340.3</v>
      </c>
      <c r="K31" s="340">
        <f t="shared" si="4"/>
        <v>114</v>
      </c>
      <c r="L31" s="341">
        <f t="shared" si="2"/>
        <v>5060.3</v>
      </c>
      <c r="M31" s="333">
        <f t="shared" si="3"/>
        <v>6.3535098781000457E-2</v>
      </c>
    </row>
    <row r="32" spans="1:13" s="334" customFormat="1" x14ac:dyDescent="0.2">
      <c r="A32" s="335" t="s">
        <v>131</v>
      </c>
      <c r="B32" s="325">
        <v>4416</v>
      </c>
      <c r="C32" s="326">
        <v>792</v>
      </c>
      <c r="D32" s="327">
        <v>925</v>
      </c>
      <c r="E32" s="327">
        <v>1216</v>
      </c>
      <c r="F32" s="336">
        <v>936</v>
      </c>
      <c r="G32" s="337">
        <v>217</v>
      </c>
      <c r="H32" s="338">
        <f t="shared" si="5"/>
        <v>2860</v>
      </c>
      <c r="I32" s="333">
        <f t="shared" si="7"/>
        <v>1.5982653791130185E-2</v>
      </c>
      <c r="J32" s="339">
        <f t="shared" si="1"/>
        <v>286</v>
      </c>
      <c r="K32" s="340">
        <f t="shared" si="4"/>
        <v>594</v>
      </c>
      <c r="L32" s="341">
        <f t="shared" si="2"/>
        <v>4504</v>
      </c>
      <c r="M32" s="333">
        <f t="shared" si="3"/>
        <v>1.9927536231884056E-2</v>
      </c>
    </row>
    <row r="33" spans="1:20" s="334" customFormat="1" x14ac:dyDescent="0.2">
      <c r="A33" s="335" t="s">
        <v>205</v>
      </c>
      <c r="B33" s="325">
        <v>7057</v>
      </c>
      <c r="C33" s="326">
        <v>177</v>
      </c>
      <c r="D33" s="327">
        <v>1436</v>
      </c>
      <c r="E33" s="327">
        <v>2593</v>
      </c>
      <c r="F33" s="336">
        <v>1912</v>
      </c>
      <c r="G33" s="337">
        <v>119</v>
      </c>
      <c r="H33" s="338">
        <f t="shared" si="5"/>
        <v>5822</v>
      </c>
      <c r="I33" s="333">
        <f t="shared" si="7"/>
        <v>3.2535318311874104E-2</v>
      </c>
      <c r="J33" s="339">
        <f t="shared" si="1"/>
        <v>582.20000000000005</v>
      </c>
      <c r="K33" s="340">
        <f t="shared" si="4"/>
        <v>132.75</v>
      </c>
      <c r="L33" s="341">
        <f t="shared" si="2"/>
        <v>7594.95</v>
      </c>
      <c r="M33" s="333">
        <f t="shared" si="3"/>
        <v>7.622927589627318E-2</v>
      </c>
    </row>
    <row r="34" spans="1:20" s="334" customFormat="1" ht="12.75" customHeight="1" x14ac:dyDescent="0.2">
      <c r="A34" s="324" t="s">
        <v>206</v>
      </c>
      <c r="B34" s="325">
        <v>5624</v>
      </c>
      <c r="C34" s="326">
        <v>19</v>
      </c>
      <c r="D34" s="327">
        <v>1299</v>
      </c>
      <c r="E34" s="327">
        <v>2525</v>
      </c>
      <c r="F34" s="336">
        <v>1397</v>
      </c>
      <c r="G34" s="337">
        <v>4</v>
      </c>
      <c r="H34" s="338">
        <f t="shared" si="5"/>
        <v>5217</v>
      </c>
      <c r="I34" s="333">
        <f t="shared" si="7"/>
        <v>2.9154372317596565E-2</v>
      </c>
      <c r="J34" s="339">
        <f t="shared" si="1"/>
        <v>521.70000000000005</v>
      </c>
      <c r="K34" s="340">
        <f t="shared" si="4"/>
        <v>14.25</v>
      </c>
      <c r="L34" s="341">
        <f t="shared" si="2"/>
        <v>6140.95</v>
      </c>
      <c r="M34" s="333">
        <f t="shared" si="3"/>
        <v>9.1918563300142211E-2</v>
      </c>
    </row>
    <row r="35" spans="1:20" s="334" customFormat="1" x14ac:dyDescent="0.2">
      <c r="A35" s="335" t="s">
        <v>70</v>
      </c>
      <c r="B35" s="325">
        <v>10004</v>
      </c>
      <c r="C35" s="326">
        <v>573</v>
      </c>
      <c r="D35" s="327">
        <v>2993</v>
      </c>
      <c r="E35" s="327">
        <v>4865</v>
      </c>
      <c r="F35" s="336">
        <v>6472</v>
      </c>
      <c r="G35" s="337">
        <v>642</v>
      </c>
      <c r="H35" s="338">
        <f t="shared" si="5"/>
        <v>13688</v>
      </c>
      <c r="I35" s="333">
        <f t="shared" si="7"/>
        <v>7.6493204577968529E-2</v>
      </c>
      <c r="J35" s="339">
        <f t="shared" si="1"/>
        <v>1368.8000000000002</v>
      </c>
      <c r="K35" s="340">
        <f t="shared" si="4"/>
        <v>429.75</v>
      </c>
      <c r="L35" s="341">
        <f t="shared" si="2"/>
        <v>11229.55</v>
      </c>
      <c r="M35" s="333">
        <f t="shared" si="3"/>
        <v>0.12250599760095954</v>
      </c>
    </row>
    <row r="36" spans="1:20" s="334" customFormat="1" ht="13.5" thickBot="1" x14ac:dyDescent="0.25">
      <c r="A36" s="353" t="s">
        <v>117</v>
      </c>
      <c r="B36" s="325">
        <v>4647</v>
      </c>
      <c r="C36" s="326">
        <v>71</v>
      </c>
      <c r="D36" s="327">
        <v>984</v>
      </c>
      <c r="E36" s="327">
        <v>1711</v>
      </c>
      <c r="F36" s="336">
        <v>955</v>
      </c>
      <c r="G36" s="337">
        <v>21</v>
      </c>
      <c r="H36" s="338">
        <f>SUM(D36:F36)-G36</f>
        <v>3629</v>
      </c>
      <c r="I36" s="354">
        <f t="shared" si="7"/>
        <v>2.0280087625178828E-2</v>
      </c>
      <c r="J36" s="339">
        <f t="shared" si="1"/>
        <v>362.90000000000003</v>
      </c>
      <c r="K36" s="355">
        <f t="shared" si="4"/>
        <v>53.25</v>
      </c>
      <c r="L36" s="341">
        <f t="shared" si="2"/>
        <v>4992.1499999999996</v>
      </c>
      <c r="M36" s="333">
        <f t="shared" si="3"/>
        <v>7.4273724983860478E-2</v>
      </c>
    </row>
    <row r="37" spans="1:20" s="361" customFormat="1" ht="13.5" thickBot="1" x14ac:dyDescent="0.25">
      <c r="A37" s="356" t="s">
        <v>249</v>
      </c>
      <c r="B37" s="357">
        <f>SUM(B6:B22,B28:B36)</f>
        <v>167172</v>
      </c>
      <c r="C37" s="358">
        <f>SUM(C6:C22,C28:C36)</f>
        <v>18483</v>
      </c>
      <c r="D37" s="359">
        <f t="shared" ref="D37:L37" si="8">SUM(D6:D22,D28:D36)</f>
        <v>32849</v>
      </c>
      <c r="E37" s="359">
        <f t="shared" si="8"/>
        <v>55896</v>
      </c>
      <c r="F37" s="359">
        <f t="shared" si="8"/>
        <v>51336</v>
      </c>
      <c r="G37" s="358">
        <f t="shared" si="8"/>
        <v>4895</v>
      </c>
      <c r="H37" s="359">
        <f t="shared" si="8"/>
        <v>135186</v>
      </c>
      <c r="I37" s="360">
        <f>SUM(I6:I22,I28:I36)</f>
        <v>0.75546539699570803</v>
      </c>
      <c r="J37" s="357">
        <f t="shared" si="8"/>
        <v>13518.6</v>
      </c>
      <c r="K37" s="358">
        <f t="shared" si="8"/>
        <v>13862.25</v>
      </c>
      <c r="L37" s="357">
        <f t="shared" si="8"/>
        <v>176069.84999999998</v>
      </c>
      <c r="M37" s="333">
        <f t="shared" si="3"/>
        <v>5.3225719618117728E-2</v>
      </c>
      <c r="N37" s="334"/>
      <c r="O37" s="334"/>
      <c r="P37" s="334"/>
      <c r="Q37" s="334"/>
      <c r="R37" s="334"/>
      <c r="S37" s="334"/>
      <c r="T37" s="334"/>
    </row>
    <row r="38" spans="1:20" s="334" customFormat="1" ht="13.5" thickBot="1" x14ac:dyDescent="0.25">
      <c r="A38" s="362"/>
      <c r="B38" s="363"/>
      <c r="C38" s="363"/>
      <c r="D38" s="364"/>
      <c r="E38" s="364"/>
      <c r="F38" s="364"/>
      <c r="G38" s="364"/>
      <c r="H38" s="365"/>
      <c r="I38" s="366"/>
      <c r="M38" s="366"/>
    </row>
    <row r="39" spans="1:20" s="372" customFormat="1" ht="13.5" thickBot="1" x14ac:dyDescent="0.25">
      <c r="A39" s="367" t="s">
        <v>214</v>
      </c>
      <c r="B39" s="368"/>
      <c r="C39" s="368"/>
      <c r="D39" s="369"/>
      <c r="E39" s="369"/>
      <c r="F39" s="370"/>
      <c r="G39" s="370"/>
      <c r="H39" s="371"/>
      <c r="I39" s="366"/>
      <c r="M39" s="366"/>
    </row>
    <row r="40" spans="1:20" s="334" customFormat="1" x14ac:dyDescent="0.2">
      <c r="A40" s="373" t="s">
        <v>208</v>
      </c>
      <c r="B40" s="325">
        <v>6476</v>
      </c>
      <c r="C40" s="326">
        <v>386</v>
      </c>
      <c r="D40" s="327">
        <v>879</v>
      </c>
      <c r="E40" s="327">
        <v>1918</v>
      </c>
      <c r="F40" s="374">
        <v>780</v>
      </c>
      <c r="G40" s="375">
        <v>42</v>
      </c>
      <c r="H40" s="376">
        <f t="shared" ref="H40:H46" si="9">SUM(D40:F40)-G40</f>
        <v>3535</v>
      </c>
      <c r="I40" s="329">
        <f t="shared" ref="I40:I46" si="10">H40/H$48</f>
        <v>1.9754783619456366E-2</v>
      </c>
      <c r="J40" s="339">
        <f t="shared" ref="J40:J46" si="11">H40*$M$2</f>
        <v>353.5</v>
      </c>
      <c r="K40" s="355">
        <f t="shared" ref="K40:K46" si="12">C40*$L$3</f>
        <v>289.5</v>
      </c>
      <c r="L40" s="341">
        <f t="shared" ref="L40:L46" si="13">(B40-C40)+J40+K40</f>
        <v>6733</v>
      </c>
      <c r="M40" s="333">
        <f t="shared" ref="M40:M48" si="14">(L40+-B40)/B40</f>
        <v>3.9684990735021616E-2</v>
      </c>
    </row>
    <row r="41" spans="1:20" s="334" customFormat="1" x14ac:dyDescent="0.2">
      <c r="A41" s="335" t="s">
        <v>140</v>
      </c>
      <c r="B41" s="325">
        <v>11111</v>
      </c>
      <c r="C41" s="326"/>
      <c r="D41" s="327">
        <v>2535</v>
      </c>
      <c r="E41" s="327">
        <v>4599</v>
      </c>
      <c r="F41" s="336">
        <v>4839</v>
      </c>
      <c r="G41" s="337"/>
      <c r="H41" s="338">
        <f t="shared" si="9"/>
        <v>11973</v>
      </c>
      <c r="I41" s="333">
        <f t="shared" si="10"/>
        <v>6.6909200643776826E-2</v>
      </c>
      <c r="J41" s="339">
        <f t="shared" si="11"/>
        <v>1197.3</v>
      </c>
      <c r="K41" s="355">
        <f t="shared" si="12"/>
        <v>0</v>
      </c>
      <c r="L41" s="341">
        <f t="shared" si="13"/>
        <v>12308.3</v>
      </c>
      <c r="M41" s="333">
        <f t="shared" si="14"/>
        <v>0.10775807758077574</v>
      </c>
    </row>
    <row r="42" spans="1:20" s="334" customFormat="1" x14ac:dyDescent="0.2">
      <c r="A42" s="335" t="s">
        <v>209</v>
      </c>
      <c r="B42" s="325">
        <v>17581</v>
      </c>
      <c r="C42" s="326">
        <v>880</v>
      </c>
      <c r="D42" s="327">
        <v>2284</v>
      </c>
      <c r="E42" s="327">
        <v>4145</v>
      </c>
      <c r="F42" s="336">
        <v>2833</v>
      </c>
      <c r="G42" s="337">
        <v>179</v>
      </c>
      <c r="H42" s="338">
        <f t="shared" si="9"/>
        <v>9083</v>
      </c>
      <c r="I42" s="333">
        <f t="shared" si="10"/>
        <v>5.0758896638054364E-2</v>
      </c>
      <c r="J42" s="339">
        <f t="shared" si="11"/>
        <v>908.30000000000007</v>
      </c>
      <c r="K42" s="340">
        <f t="shared" si="12"/>
        <v>660</v>
      </c>
      <c r="L42" s="341">
        <f t="shared" si="13"/>
        <v>18269.3</v>
      </c>
      <c r="M42" s="333">
        <f t="shared" si="14"/>
        <v>3.9150218986405735E-2</v>
      </c>
    </row>
    <row r="43" spans="1:20" s="334" customFormat="1" x14ac:dyDescent="0.2">
      <c r="A43" s="335" t="s">
        <v>210</v>
      </c>
      <c r="B43" s="325">
        <v>7342</v>
      </c>
      <c r="C43" s="326"/>
      <c r="D43" s="327">
        <v>851</v>
      </c>
      <c r="E43" s="327">
        <v>1759</v>
      </c>
      <c r="F43" s="336">
        <v>846</v>
      </c>
      <c r="G43" s="337"/>
      <c r="H43" s="338">
        <f t="shared" si="9"/>
        <v>3456</v>
      </c>
      <c r="I43" s="333">
        <f t="shared" si="10"/>
        <v>1.9313304721030045E-2</v>
      </c>
      <c r="J43" s="339">
        <f t="shared" si="11"/>
        <v>345.6</v>
      </c>
      <c r="K43" s="340">
        <f t="shared" si="12"/>
        <v>0</v>
      </c>
      <c r="L43" s="341">
        <f t="shared" si="13"/>
        <v>7687.6</v>
      </c>
      <c r="M43" s="333">
        <f t="shared" si="14"/>
        <v>4.7071642604195094E-2</v>
      </c>
    </row>
    <row r="44" spans="1:20" s="334" customFormat="1" x14ac:dyDescent="0.2">
      <c r="A44" s="335" t="s">
        <v>211</v>
      </c>
      <c r="B44" s="325">
        <v>17453</v>
      </c>
      <c r="C44" s="326">
        <v>3300</v>
      </c>
      <c r="D44" s="327">
        <v>2429</v>
      </c>
      <c r="E44" s="327">
        <v>4304</v>
      </c>
      <c r="F44" s="336">
        <v>3200</v>
      </c>
      <c r="G44" s="337">
        <v>549</v>
      </c>
      <c r="H44" s="338">
        <f t="shared" si="9"/>
        <v>9384</v>
      </c>
      <c r="I44" s="333">
        <f t="shared" si="10"/>
        <v>5.2440987124463517E-2</v>
      </c>
      <c r="J44" s="339">
        <f t="shared" si="11"/>
        <v>938.40000000000009</v>
      </c>
      <c r="K44" s="340">
        <f t="shared" si="12"/>
        <v>2475</v>
      </c>
      <c r="L44" s="341">
        <f t="shared" si="13"/>
        <v>17566.400000000001</v>
      </c>
      <c r="M44" s="333">
        <f t="shared" si="14"/>
        <v>6.4974502950782935E-3</v>
      </c>
    </row>
    <row r="45" spans="1:20" s="334" customFormat="1" x14ac:dyDescent="0.2">
      <c r="A45" s="335" t="s">
        <v>212</v>
      </c>
      <c r="B45" s="325">
        <v>8739</v>
      </c>
      <c r="C45" s="326">
        <v>5470</v>
      </c>
      <c r="D45" s="327">
        <v>916</v>
      </c>
      <c r="E45" s="327">
        <v>914</v>
      </c>
      <c r="F45" s="336">
        <v>912</v>
      </c>
      <c r="G45" s="337">
        <v>882</v>
      </c>
      <c r="H45" s="338">
        <f t="shared" si="9"/>
        <v>1860</v>
      </c>
      <c r="I45" s="333">
        <f t="shared" si="10"/>
        <v>1.039431330472103E-2</v>
      </c>
      <c r="J45" s="339">
        <f t="shared" si="11"/>
        <v>186</v>
      </c>
      <c r="K45" s="340">
        <f t="shared" si="12"/>
        <v>4102.5</v>
      </c>
      <c r="L45" s="341">
        <f t="shared" si="13"/>
        <v>7557.5</v>
      </c>
      <c r="M45" s="333">
        <f t="shared" si="14"/>
        <v>-0.13519853530152193</v>
      </c>
    </row>
    <row r="46" spans="1:20" s="334" customFormat="1" ht="13.5" thickBot="1" x14ac:dyDescent="0.25">
      <c r="A46" s="353" t="s">
        <v>213</v>
      </c>
      <c r="B46" s="325">
        <v>8951</v>
      </c>
      <c r="C46" s="326"/>
      <c r="D46" s="327">
        <v>1125</v>
      </c>
      <c r="E46" s="327">
        <v>2289</v>
      </c>
      <c r="F46" s="336">
        <v>1053</v>
      </c>
      <c r="G46" s="337"/>
      <c r="H46" s="338">
        <f t="shared" si="9"/>
        <v>4467</v>
      </c>
      <c r="I46" s="377">
        <f t="shared" si="10"/>
        <v>2.4963116952789698E-2</v>
      </c>
      <c r="J46" s="339">
        <f t="shared" si="11"/>
        <v>446.70000000000005</v>
      </c>
      <c r="K46" s="355">
        <f t="shared" si="12"/>
        <v>0</v>
      </c>
      <c r="L46" s="341">
        <f t="shared" si="13"/>
        <v>9397.7000000000007</v>
      </c>
      <c r="M46" s="333">
        <f t="shared" si="14"/>
        <v>4.9905038543179611E-2</v>
      </c>
    </row>
    <row r="47" spans="1:20" s="361" customFormat="1" ht="13.5" thickBot="1" x14ac:dyDescent="0.25">
      <c r="A47" s="356" t="s">
        <v>250</v>
      </c>
      <c r="B47" s="357">
        <f t="shared" ref="B47:K47" si="15">SUM(B40:B46)</f>
        <v>77653</v>
      </c>
      <c r="C47" s="358">
        <f t="shared" si="15"/>
        <v>10036</v>
      </c>
      <c r="D47" s="359">
        <f t="shared" si="15"/>
        <v>11019</v>
      </c>
      <c r="E47" s="359">
        <f t="shared" si="15"/>
        <v>19928</v>
      </c>
      <c r="F47" s="359">
        <f t="shared" si="15"/>
        <v>14463</v>
      </c>
      <c r="G47" s="358">
        <f t="shared" si="15"/>
        <v>1652</v>
      </c>
      <c r="H47" s="359">
        <f t="shared" si="15"/>
        <v>43758</v>
      </c>
      <c r="I47" s="360">
        <f t="shared" si="15"/>
        <v>0.24453460300429183</v>
      </c>
      <c r="J47" s="357">
        <f t="shared" si="15"/>
        <v>4375.8</v>
      </c>
      <c r="K47" s="358">
        <f t="shared" si="15"/>
        <v>7527</v>
      </c>
      <c r="L47" s="378">
        <f>SUM(L40:L46)</f>
        <v>79519.8</v>
      </c>
      <c r="M47" s="333">
        <f t="shared" si="14"/>
        <v>2.4040281766319432E-2</v>
      </c>
    </row>
    <row r="48" spans="1:20" s="361" customFormat="1" ht="13.5" thickBot="1" x14ac:dyDescent="0.25">
      <c r="A48" s="379" t="s">
        <v>251</v>
      </c>
      <c r="B48" s="380">
        <f t="shared" ref="B48:L48" si="16">B37+B47</f>
        <v>244825</v>
      </c>
      <c r="C48" s="381">
        <f t="shared" si="16"/>
        <v>28519</v>
      </c>
      <c r="D48" s="382">
        <f t="shared" si="16"/>
        <v>43868</v>
      </c>
      <c r="E48" s="382">
        <f t="shared" si="16"/>
        <v>75824</v>
      </c>
      <c r="F48" s="382">
        <f t="shared" si="16"/>
        <v>65799</v>
      </c>
      <c r="G48" s="381">
        <f>G37+G47</f>
        <v>6547</v>
      </c>
      <c r="H48" s="382">
        <f t="shared" si="16"/>
        <v>178944</v>
      </c>
      <c r="I48" s="383">
        <f t="shared" si="16"/>
        <v>0.99999999999999989</v>
      </c>
      <c r="J48" s="357">
        <f t="shared" si="16"/>
        <v>17894.400000000001</v>
      </c>
      <c r="K48" s="358">
        <f t="shared" si="16"/>
        <v>21389.25</v>
      </c>
      <c r="L48" s="357">
        <f t="shared" si="16"/>
        <v>255589.64999999997</v>
      </c>
      <c r="M48" s="333">
        <f t="shared" si="14"/>
        <v>4.3968753191054692E-2</v>
      </c>
    </row>
    <row r="49" spans="1:12" ht="13.5" hidden="1" thickBot="1" x14ac:dyDescent="0.25">
      <c r="A49" s="384" t="s">
        <v>252</v>
      </c>
      <c r="B49" s="385"/>
      <c r="C49" s="386"/>
      <c r="D49" s="387"/>
      <c r="E49" s="387"/>
      <c r="F49" s="387"/>
      <c r="G49" s="387"/>
      <c r="H49" s="387"/>
      <c r="I49" s="388"/>
      <c r="J49" s="389"/>
      <c r="K49" s="390"/>
    </row>
    <row r="51" spans="1:12" x14ac:dyDescent="0.2">
      <c r="A51" s="16" t="s">
        <v>299</v>
      </c>
    </row>
    <row r="52" spans="1:12" x14ac:dyDescent="0.2">
      <c r="A52" s="129"/>
      <c r="L52" s="392"/>
    </row>
  </sheetData>
  <mergeCells count="2">
    <mergeCell ref="A1:I1"/>
    <mergeCell ref="A3:I3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</sheetPr>
  <dimension ref="A1:L47"/>
  <sheetViews>
    <sheetView zoomScale="80" workbookViewId="0">
      <selection activeCell="A44" sqref="A44"/>
    </sheetView>
  </sheetViews>
  <sheetFormatPr defaultRowHeight="15" customHeight="1" x14ac:dyDescent="0.2"/>
  <cols>
    <col min="1" max="1" width="7.28515625" style="54" customWidth="1"/>
    <col min="2" max="2" width="30.28515625" style="54" customWidth="1"/>
    <col min="3" max="3" width="10.85546875" style="54" customWidth="1"/>
    <col min="4" max="4" width="12.85546875" style="54" customWidth="1"/>
    <col min="5" max="5" width="10.7109375" style="54" customWidth="1"/>
    <col min="6" max="6" width="12.85546875" style="54" customWidth="1"/>
    <col min="7" max="7" width="14.140625" style="54" customWidth="1"/>
    <col min="8" max="8" width="14.7109375" style="107" customWidth="1"/>
    <col min="9" max="9" width="9.140625" style="54"/>
    <col min="10" max="12" width="0" style="54" hidden="1" customWidth="1"/>
    <col min="13" max="16384" width="9.140625" style="54"/>
  </cols>
  <sheetData>
    <row r="1" spans="1:12" ht="15" customHeight="1" x14ac:dyDescent="0.25">
      <c r="A1" s="106" t="s">
        <v>254</v>
      </c>
      <c r="G1" s="106"/>
      <c r="H1" s="462" t="s">
        <v>288</v>
      </c>
    </row>
    <row r="2" spans="1:12" ht="15" customHeight="1" x14ac:dyDescent="0.2">
      <c r="A2" s="108" t="s">
        <v>104</v>
      </c>
      <c r="G2" s="108"/>
    </row>
    <row r="3" spans="1:12" ht="15" customHeight="1" x14ac:dyDescent="0.2">
      <c r="A3" s="87" t="s">
        <v>306</v>
      </c>
      <c r="G3" s="109"/>
    </row>
    <row r="4" spans="1:12" ht="12.75" x14ac:dyDescent="0.2">
      <c r="A4" s="58"/>
      <c r="B4" s="58"/>
      <c r="C4" s="58"/>
      <c r="D4" s="91"/>
      <c r="E4" s="91"/>
      <c r="F4" s="91"/>
      <c r="G4" s="110"/>
      <c r="H4" s="111"/>
    </row>
    <row r="5" spans="1:12" ht="34.5" customHeight="1" x14ac:dyDescent="0.2">
      <c r="A5" s="112"/>
      <c r="B5" s="113"/>
      <c r="C5" s="197"/>
      <c r="D5" s="500" t="s">
        <v>105</v>
      </c>
      <c r="E5" s="500" t="s">
        <v>106</v>
      </c>
      <c r="F5" s="497" t="s">
        <v>107</v>
      </c>
      <c r="G5" s="500" t="s">
        <v>119</v>
      </c>
      <c r="H5" s="500" t="s">
        <v>66</v>
      </c>
    </row>
    <row r="6" spans="1:12" ht="15.75" customHeight="1" x14ac:dyDescent="0.2">
      <c r="A6" s="114"/>
      <c r="B6" s="114"/>
      <c r="C6" s="198" t="s">
        <v>305</v>
      </c>
      <c r="D6" s="500"/>
      <c r="E6" s="500"/>
      <c r="F6" s="498"/>
      <c r="G6" s="501"/>
      <c r="H6" s="502"/>
    </row>
    <row r="7" spans="1:12" ht="15.75" customHeight="1" x14ac:dyDescent="0.2">
      <c r="A7" s="115" t="s">
        <v>0</v>
      </c>
      <c r="B7" s="115" t="s">
        <v>83</v>
      </c>
      <c r="C7" s="115" t="s">
        <v>108</v>
      </c>
      <c r="D7" s="97">
        <v>5</v>
      </c>
      <c r="E7" s="100">
        <v>50000</v>
      </c>
      <c r="F7" s="499"/>
      <c r="G7" s="501"/>
      <c r="H7" s="503"/>
    </row>
    <row r="8" spans="1:12" s="58" customFormat="1" ht="15" customHeight="1" x14ac:dyDescent="0.2">
      <c r="B8" s="91"/>
      <c r="C8" s="91"/>
      <c r="D8" s="98"/>
      <c r="E8" s="101"/>
      <c r="F8" s="116"/>
      <c r="G8" s="117"/>
      <c r="H8" s="118"/>
      <c r="L8" s="58">
        <f>G8-I8</f>
        <v>0</v>
      </c>
    </row>
    <row r="9" spans="1:12" ht="15" customHeight="1" x14ac:dyDescent="0.2">
      <c r="A9" s="10" t="s">
        <v>2</v>
      </c>
      <c r="B9" s="121" t="s">
        <v>128</v>
      </c>
      <c r="C9" s="93">
        <v>493480</v>
      </c>
      <c r="D9" s="96">
        <f t="shared" ref="D9:D38" si="0">C9*$D$7</f>
        <v>2467400</v>
      </c>
      <c r="E9" s="96"/>
      <c r="F9" s="96">
        <f>D9+E9</f>
        <v>2467400</v>
      </c>
      <c r="G9" s="119">
        <f>'Revenue Offset'!G8</f>
        <v>0.45624173096297904</v>
      </c>
      <c r="H9" s="120">
        <f t="shared" ref="H9:H38" si="1">F9*(1-G9)</f>
        <v>1341669.1530219456</v>
      </c>
      <c r="J9" s="203"/>
    </row>
    <row r="10" spans="1:12" ht="15" customHeight="1" x14ac:dyDescent="0.2">
      <c r="A10" s="10" t="s">
        <v>4</v>
      </c>
      <c r="B10" s="121" t="s">
        <v>124</v>
      </c>
      <c r="C10" s="93">
        <f>323839+113712+419337</f>
        <v>856888</v>
      </c>
      <c r="D10" s="96">
        <f t="shared" si="0"/>
        <v>4284440</v>
      </c>
      <c r="E10" s="96">
        <v>100000</v>
      </c>
      <c r="F10" s="96">
        <f t="shared" ref="F10:F38" si="2">D10+E10</f>
        <v>4384440</v>
      </c>
      <c r="G10" s="119">
        <f>'Revenue Offset'!G9</f>
        <v>0.50834573778135927</v>
      </c>
      <c r="H10" s="120">
        <f t="shared" si="1"/>
        <v>2155628.6134418971</v>
      </c>
      <c r="J10" s="203"/>
    </row>
    <row r="11" spans="1:12" ht="15" customHeight="1" x14ac:dyDescent="0.2">
      <c r="A11" s="10" t="s">
        <v>5</v>
      </c>
      <c r="B11" s="121" t="s">
        <v>113</v>
      </c>
      <c r="C11" s="93">
        <f>925103+97053</f>
        <v>1022156</v>
      </c>
      <c r="D11" s="96">
        <f t="shared" si="0"/>
        <v>5110780</v>
      </c>
      <c r="E11" s="96">
        <v>50000</v>
      </c>
      <c r="F11" s="96">
        <f t="shared" si="2"/>
        <v>5160780</v>
      </c>
      <c r="G11" s="119">
        <f>'Revenue Offset'!G10</f>
        <v>0.60988099843552557</v>
      </c>
      <c r="H11" s="120">
        <f t="shared" si="1"/>
        <v>2013318.3408939084</v>
      </c>
      <c r="J11" s="203"/>
    </row>
    <row r="12" spans="1:12" ht="15" customHeight="1" x14ac:dyDescent="0.2">
      <c r="A12" s="10" t="s">
        <v>6</v>
      </c>
      <c r="B12" s="121" t="s">
        <v>7</v>
      </c>
      <c r="C12" s="93">
        <f>358949+263210</f>
        <v>622159</v>
      </c>
      <c r="D12" s="96">
        <f t="shared" si="0"/>
        <v>3110795</v>
      </c>
      <c r="E12" s="96">
        <v>50000</v>
      </c>
      <c r="F12" s="96">
        <f t="shared" si="2"/>
        <v>3160795</v>
      </c>
      <c r="G12" s="119">
        <f>'Revenue Offset'!G11</f>
        <v>0.42490060598437657</v>
      </c>
      <c r="H12" s="120">
        <f t="shared" si="1"/>
        <v>1817771.2891076126</v>
      </c>
      <c r="J12" s="203"/>
    </row>
    <row r="13" spans="1:12" ht="17.25" customHeight="1" x14ac:dyDescent="0.2">
      <c r="A13" s="10" t="s">
        <v>8</v>
      </c>
      <c r="B13" s="121" t="s">
        <v>9</v>
      </c>
      <c r="C13" s="93">
        <v>739917</v>
      </c>
      <c r="D13" s="96">
        <f t="shared" si="0"/>
        <v>3699585</v>
      </c>
      <c r="E13" s="96"/>
      <c r="F13" s="96">
        <f t="shared" si="2"/>
        <v>3699585</v>
      </c>
      <c r="G13" s="119">
        <f>'Revenue Offset'!G12</f>
        <v>0.51986557297531943</v>
      </c>
      <c r="H13" s="120">
        <f t="shared" si="1"/>
        <v>1776298.1242041029</v>
      </c>
      <c r="J13" s="203"/>
    </row>
    <row r="14" spans="1:12" ht="15" customHeight="1" x14ac:dyDescent="0.2">
      <c r="A14" s="10" t="s">
        <v>10</v>
      </c>
      <c r="B14" s="121" t="s">
        <v>146</v>
      </c>
      <c r="C14" s="93">
        <f>539459+325845</f>
        <v>865304</v>
      </c>
      <c r="D14" s="96">
        <f t="shared" si="0"/>
        <v>4326520</v>
      </c>
      <c r="E14" s="96">
        <v>50000</v>
      </c>
      <c r="F14" s="96">
        <f t="shared" si="2"/>
        <v>4376520</v>
      </c>
      <c r="G14" s="119">
        <f>'Revenue Offset'!G13</f>
        <v>0.48658479272534444</v>
      </c>
      <c r="H14" s="120">
        <f t="shared" si="1"/>
        <v>2246971.9229416759</v>
      </c>
      <c r="J14" s="203"/>
    </row>
    <row r="15" spans="1:12" ht="15" customHeight="1" x14ac:dyDescent="0.2">
      <c r="A15" s="10" t="s">
        <v>12</v>
      </c>
      <c r="B15" s="121" t="s">
        <v>13</v>
      </c>
      <c r="C15" s="93">
        <v>161222</v>
      </c>
      <c r="D15" s="96">
        <f t="shared" si="0"/>
        <v>806110</v>
      </c>
      <c r="E15" s="96"/>
      <c r="F15" s="96">
        <f t="shared" si="2"/>
        <v>806110</v>
      </c>
      <c r="G15" s="119">
        <f>'Revenue Offset'!G14</f>
        <v>0.38701773848753035</v>
      </c>
      <c r="H15" s="120">
        <f t="shared" si="1"/>
        <v>494131.13082781684</v>
      </c>
      <c r="J15" s="203"/>
    </row>
    <row r="16" spans="1:12" ht="15" customHeight="1" x14ac:dyDescent="0.2">
      <c r="A16" s="10" t="s">
        <v>14</v>
      </c>
      <c r="B16" s="121" t="s">
        <v>139</v>
      </c>
      <c r="C16" s="93">
        <f>498704+415217</f>
        <v>913921</v>
      </c>
      <c r="D16" s="96">
        <f t="shared" si="0"/>
        <v>4569605</v>
      </c>
      <c r="E16" s="96">
        <v>50000</v>
      </c>
      <c r="F16" s="96">
        <f t="shared" si="2"/>
        <v>4619605</v>
      </c>
      <c r="G16" s="119">
        <f>'Revenue Offset'!G15</f>
        <v>0.43354811038127306</v>
      </c>
      <c r="H16" s="120">
        <f t="shared" si="1"/>
        <v>2616783.9815421193</v>
      </c>
      <c r="J16" s="203"/>
    </row>
    <row r="17" spans="1:10" ht="15" customHeight="1" x14ac:dyDescent="0.2">
      <c r="A17" s="10" t="s">
        <v>16</v>
      </c>
      <c r="B17" s="121" t="s">
        <v>17</v>
      </c>
      <c r="C17" s="93">
        <v>399066</v>
      </c>
      <c r="D17" s="96">
        <f t="shared" si="0"/>
        <v>1995330</v>
      </c>
      <c r="E17" s="96"/>
      <c r="F17" s="96">
        <f t="shared" si="2"/>
        <v>1995330</v>
      </c>
      <c r="G17" s="119">
        <f>'Revenue Offset'!G16</f>
        <v>0.47449863887623561</v>
      </c>
      <c r="H17" s="120">
        <f t="shared" si="1"/>
        <v>1048548.6308910809</v>
      </c>
      <c r="J17" s="203"/>
    </row>
    <row r="18" spans="1:10" ht="15" customHeight="1" x14ac:dyDescent="0.2">
      <c r="A18" s="10" t="s">
        <v>18</v>
      </c>
      <c r="B18" s="121" t="s">
        <v>140</v>
      </c>
      <c r="C18" s="93">
        <v>383563</v>
      </c>
      <c r="D18" s="96">
        <f t="shared" si="0"/>
        <v>1917815</v>
      </c>
      <c r="E18" s="96"/>
      <c r="F18" s="96">
        <f t="shared" si="2"/>
        <v>1917815</v>
      </c>
      <c r="G18" s="119">
        <f>'Revenue Offset'!G17</f>
        <v>0.60709468026712787</v>
      </c>
      <c r="H18" s="120">
        <f t="shared" si="1"/>
        <v>753519.71576349821</v>
      </c>
      <c r="J18" s="203"/>
    </row>
    <row r="19" spans="1:10" ht="15" customHeight="1" x14ac:dyDescent="0.2">
      <c r="A19" s="10" t="s">
        <v>19</v>
      </c>
      <c r="B19" s="121" t="s">
        <v>129</v>
      </c>
      <c r="C19" s="93">
        <v>1004664</v>
      </c>
      <c r="D19" s="96">
        <f t="shared" si="0"/>
        <v>5023320</v>
      </c>
      <c r="E19" s="96"/>
      <c r="F19" s="96">
        <f t="shared" si="2"/>
        <v>5023320</v>
      </c>
      <c r="G19" s="119">
        <f>'Revenue Offset'!G18</f>
        <v>0.48032518569439686</v>
      </c>
      <c r="H19" s="120">
        <f t="shared" si="1"/>
        <v>2610492.8881976223</v>
      </c>
      <c r="J19" s="203"/>
    </row>
    <row r="20" spans="1:10" ht="15" customHeight="1" x14ac:dyDescent="0.2">
      <c r="A20" s="10" t="s">
        <v>21</v>
      </c>
      <c r="B20" s="121" t="s">
        <v>177</v>
      </c>
      <c r="C20" s="93">
        <f>100743+183316</f>
        <v>284059</v>
      </c>
      <c r="D20" s="96">
        <f t="shared" si="0"/>
        <v>1420295</v>
      </c>
      <c r="E20" s="96">
        <v>50000</v>
      </c>
      <c r="F20" s="96">
        <f t="shared" si="2"/>
        <v>1470295</v>
      </c>
      <c r="G20" s="119">
        <f>'Revenue Offset'!G19</f>
        <v>0.41354569882419179</v>
      </c>
      <c r="H20" s="120">
        <f t="shared" si="1"/>
        <v>862260.82674728497</v>
      </c>
      <c r="J20" s="203"/>
    </row>
    <row r="21" spans="1:10" ht="15" customHeight="1" x14ac:dyDescent="0.2">
      <c r="A21" s="37" t="s">
        <v>109</v>
      </c>
      <c r="B21" s="121" t="s">
        <v>141</v>
      </c>
      <c r="C21" s="93">
        <f>196824+165849+231919+131436</f>
        <v>726028</v>
      </c>
      <c r="D21" s="96">
        <f t="shared" si="0"/>
        <v>3630140</v>
      </c>
      <c r="E21" s="96">
        <v>150000</v>
      </c>
      <c r="F21" s="96">
        <f t="shared" si="2"/>
        <v>3780140</v>
      </c>
      <c r="G21" s="119">
        <f>'Revenue Offset'!G20</f>
        <v>0.47853785466514365</v>
      </c>
      <c r="H21" s="120">
        <f t="shared" si="1"/>
        <v>1971199.914066104</v>
      </c>
      <c r="J21" s="203"/>
    </row>
    <row r="22" spans="1:10" ht="15" customHeight="1" x14ac:dyDescent="0.2">
      <c r="A22" s="10" t="s">
        <v>26</v>
      </c>
      <c r="B22" s="121" t="s">
        <v>62</v>
      </c>
      <c r="C22" s="93">
        <v>1154542</v>
      </c>
      <c r="D22" s="96">
        <f t="shared" si="0"/>
        <v>5772710</v>
      </c>
      <c r="E22" s="96"/>
      <c r="F22" s="96">
        <f t="shared" si="2"/>
        <v>5772710</v>
      </c>
      <c r="G22" s="119">
        <f>'Revenue Offset'!G21</f>
        <v>0.58180416703013171</v>
      </c>
      <c r="H22" s="120">
        <f t="shared" si="1"/>
        <v>2414123.2669434883</v>
      </c>
      <c r="J22" s="203"/>
    </row>
    <row r="23" spans="1:10" ht="15" customHeight="1" x14ac:dyDescent="0.2">
      <c r="A23" s="10" t="s">
        <v>22</v>
      </c>
      <c r="B23" s="121" t="s">
        <v>23</v>
      </c>
      <c r="C23" s="199">
        <v>1809355</v>
      </c>
      <c r="D23" s="96">
        <f t="shared" si="0"/>
        <v>9046775</v>
      </c>
      <c r="E23" s="96"/>
      <c r="F23" s="96">
        <f t="shared" si="2"/>
        <v>9046775</v>
      </c>
      <c r="G23" s="119">
        <f>'Revenue Offset'!G22</f>
        <v>0.64793537964652148</v>
      </c>
      <c r="H23" s="120">
        <f t="shared" si="1"/>
        <v>3185049.4057983407</v>
      </c>
      <c r="J23" s="203"/>
    </row>
    <row r="24" spans="1:10" ht="15" customHeight="1" x14ac:dyDescent="0.2">
      <c r="A24" s="10" t="s">
        <v>24</v>
      </c>
      <c r="B24" s="121" t="s">
        <v>137</v>
      </c>
      <c r="C24" s="93">
        <f>82213+77187+99540+95732+169017</f>
        <v>523689</v>
      </c>
      <c r="D24" s="96">
        <f t="shared" si="0"/>
        <v>2618445</v>
      </c>
      <c r="E24" s="96">
        <v>200000</v>
      </c>
      <c r="F24" s="96">
        <f t="shared" si="2"/>
        <v>2818445</v>
      </c>
      <c r="G24" s="119">
        <f>'Revenue Offset'!G23</f>
        <v>0.4518890697250138</v>
      </c>
      <c r="H24" s="120">
        <f t="shared" si="1"/>
        <v>1544820.5108788835</v>
      </c>
      <c r="J24" s="203"/>
    </row>
    <row r="25" spans="1:10" ht="15" customHeight="1" x14ac:dyDescent="0.2">
      <c r="A25" s="10" t="s">
        <v>27</v>
      </c>
      <c r="B25" s="121" t="s">
        <v>132</v>
      </c>
      <c r="C25" s="93">
        <v>566197</v>
      </c>
      <c r="D25" s="96">
        <f t="shared" si="0"/>
        <v>2830985</v>
      </c>
      <c r="E25" s="96"/>
      <c r="F25" s="96">
        <f t="shared" si="2"/>
        <v>2830985</v>
      </c>
      <c r="G25" s="119">
        <f>'Revenue Offset'!G24</f>
        <v>0.5727525915925874</v>
      </c>
      <c r="H25" s="120">
        <f t="shared" si="1"/>
        <v>1209531.0044902589</v>
      </c>
      <c r="J25" s="203"/>
    </row>
    <row r="26" spans="1:10" ht="15" customHeight="1" x14ac:dyDescent="0.2">
      <c r="A26" s="10" t="s">
        <v>29</v>
      </c>
      <c r="B26" s="121" t="s">
        <v>133</v>
      </c>
      <c r="C26" s="93">
        <v>490064</v>
      </c>
      <c r="D26" s="96">
        <f t="shared" si="0"/>
        <v>2450320</v>
      </c>
      <c r="E26" s="96"/>
      <c r="F26" s="96">
        <f t="shared" si="2"/>
        <v>2450320</v>
      </c>
      <c r="G26" s="119">
        <f>'Revenue Offset'!G25</f>
        <v>0.52782979805302599</v>
      </c>
      <c r="H26" s="120">
        <f t="shared" si="1"/>
        <v>1156968.0892347093</v>
      </c>
      <c r="J26" s="203"/>
    </row>
    <row r="27" spans="1:10" ht="15" customHeight="1" x14ac:dyDescent="0.2">
      <c r="A27" s="37" t="s">
        <v>118</v>
      </c>
      <c r="B27" s="121" t="s">
        <v>63</v>
      </c>
      <c r="C27" s="200">
        <f>325314+188416+97173+132211+96361+124080</f>
        <v>963555</v>
      </c>
      <c r="D27" s="96">
        <f t="shared" si="0"/>
        <v>4817775</v>
      </c>
      <c r="E27" s="96">
        <v>250000</v>
      </c>
      <c r="F27" s="96">
        <f>D27+E27</f>
        <v>5067775</v>
      </c>
      <c r="G27" s="119">
        <f>'Revenue Offset'!G26</f>
        <v>0.46673244262792274</v>
      </c>
      <c r="H27" s="120">
        <f t="shared" si="1"/>
        <v>2702479.9955612789</v>
      </c>
      <c r="J27" s="203"/>
    </row>
    <row r="28" spans="1:10" ht="15" customHeight="1" x14ac:dyDescent="0.2">
      <c r="A28" s="10" t="s">
        <v>31</v>
      </c>
      <c r="B28" s="121" t="s">
        <v>134</v>
      </c>
      <c r="C28" s="93">
        <f>171244+320041</f>
        <v>491285</v>
      </c>
      <c r="D28" s="96">
        <f t="shared" si="0"/>
        <v>2456425</v>
      </c>
      <c r="E28" s="96">
        <v>50000</v>
      </c>
      <c r="F28" s="96">
        <f t="shared" si="2"/>
        <v>2506425</v>
      </c>
      <c r="G28" s="119">
        <f>'Revenue Offset'!G27</f>
        <v>0.45134056461173905</v>
      </c>
      <c r="H28" s="120">
        <f t="shared" si="1"/>
        <v>1375173.725343022</v>
      </c>
      <c r="J28" s="203"/>
    </row>
    <row r="29" spans="1:10" ht="15" customHeight="1" x14ac:dyDescent="0.2">
      <c r="A29" s="10" t="s">
        <v>33</v>
      </c>
      <c r="B29" s="121" t="s">
        <v>130</v>
      </c>
      <c r="C29" s="93">
        <v>112270</v>
      </c>
      <c r="D29" s="96">
        <f t="shared" si="0"/>
        <v>561350</v>
      </c>
      <c r="E29" s="96"/>
      <c r="F29" s="96">
        <f t="shared" si="2"/>
        <v>561350</v>
      </c>
      <c r="G29" s="119">
        <f>'Revenue Offset'!G28</f>
        <v>0.38473777608673843</v>
      </c>
      <c r="H29" s="120">
        <f t="shared" si="1"/>
        <v>345377.44939370936</v>
      </c>
      <c r="J29" s="203"/>
    </row>
    <row r="30" spans="1:10" ht="15" customHeight="1" x14ac:dyDescent="0.2">
      <c r="A30" s="10" t="s">
        <v>35</v>
      </c>
      <c r="B30" s="121" t="s">
        <v>36</v>
      </c>
      <c r="C30" s="93">
        <f>195906+476819</f>
        <v>672725</v>
      </c>
      <c r="D30" s="96">
        <f t="shared" si="0"/>
        <v>3363625</v>
      </c>
      <c r="E30" s="96">
        <v>50000</v>
      </c>
      <c r="F30" s="96">
        <f t="shared" si="2"/>
        <v>3413625</v>
      </c>
      <c r="G30" s="119">
        <f>'Revenue Offset'!G29</f>
        <v>0.45901342234845049</v>
      </c>
      <c r="H30" s="120">
        <f t="shared" si="1"/>
        <v>1846725.3061357704</v>
      </c>
      <c r="J30" s="203"/>
    </row>
    <row r="31" spans="1:10" ht="15" customHeight="1" x14ac:dyDescent="0.2">
      <c r="A31" s="10" t="s">
        <v>37</v>
      </c>
      <c r="B31" s="121" t="s">
        <v>131</v>
      </c>
      <c r="C31" s="93">
        <f>138322+361379+27571</f>
        <v>527272</v>
      </c>
      <c r="D31" s="96">
        <f t="shared" si="0"/>
        <v>2636360</v>
      </c>
      <c r="E31" s="96">
        <v>100000</v>
      </c>
      <c r="F31" s="96">
        <f t="shared" si="2"/>
        <v>2736360</v>
      </c>
      <c r="G31" s="119">
        <f>'Revenue Offset'!G30</f>
        <v>0.4677055420678205</v>
      </c>
      <c r="H31" s="120">
        <f t="shared" si="1"/>
        <v>1456549.2629072987</v>
      </c>
      <c r="J31" s="203"/>
    </row>
    <row r="32" spans="1:10" ht="15" customHeight="1" x14ac:dyDescent="0.2">
      <c r="A32" s="10" t="s">
        <v>39</v>
      </c>
      <c r="B32" s="121" t="s">
        <v>135</v>
      </c>
      <c r="C32" s="93">
        <v>855203</v>
      </c>
      <c r="D32" s="96">
        <f t="shared" si="0"/>
        <v>4276015</v>
      </c>
      <c r="E32" s="96"/>
      <c r="F32" s="96">
        <f t="shared" si="2"/>
        <v>4276015</v>
      </c>
      <c r="G32" s="119">
        <f>'Revenue Offset'!G31</f>
        <v>0.51278105124676165</v>
      </c>
      <c r="H32" s="120">
        <f t="shared" si="1"/>
        <v>2083355.5331530785</v>
      </c>
      <c r="J32" s="203"/>
    </row>
    <row r="33" spans="1:10" ht="15" customHeight="1" x14ac:dyDescent="0.2">
      <c r="A33" s="10" t="s">
        <v>46</v>
      </c>
      <c r="B33" s="121" t="s">
        <v>70</v>
      </c>
      <c r="C33" s="93">
        <v>557150</v>
      </c>
      <c r="D33" s="96">
        <f t="shared" si="0"/>
        <v>2785750</v>
      </c>
      <c r="E33" s="96"/>
      <c r="F33" s="96">
        <f t="shared" si="2"/>
        <v>2785750</v>
      </c>
      <c r="G33" s="119">
        <f>'Revenue Offset'!G32</f>
        <v>0.53867318241761786</v>
      </c>
      <c r="H33" s="120">
        <f t="shared" si="1"/>
        <v>1285141.182080121</v>
      </c>
      <c r="J33" s="203"/>
    </row>
    <row r="34" spans="1:10" ht="15" customHeight="1" x14ac:dyDescent="0.2">
      <c r="A34" s="10" t="s">
        <v>41</v>
      </c>
      <c r="B34" s="121" t="s">
        <v>117</v>
      </c>
      <c r="C34" s="93">
        <f>110367+302315</f>
        <v>412682</v>
      </c>
      <c r="D34" s="96">
        <f t="shared" si="0"/>
        <v>2063410</v>
      </c>
      <c r="E34" s="96">
        <v>50000</v>
      </c>
      <c r="F34" s="96">
        <f t="shared" si="2"/>
        <v>2113410</v>
      </c>
      <c r="G34" s="119">
        <f>'Revenue Offset'!G33</f>
        <v>0.44840568936189645</v>
      </c>
      <c r="H34" s="120">
        <f t="shared" si="1"/>
        <v>1165744.9320456746</v>
      </c>
      <c r="J34" s="203"/>
    </row>
    <row r="35" spans="1:10" ht="15" customHeight="1" x14ac:dyDescent="0.2">
      <c r="A35" s="10" t="s">
        <v>42</v>
      </c>
      <c r="B35" s="121" t="s">
        <v>69</v>
      </c>
      <c r="C35" s="93">
        <v>801231</v>
      </c>
      <c r="D35" s="96">
        <f t="shared" si="0"/>
        <v>4006155</v>
      </c>
      <c r="E35" s="96"/>
      <c r="F35" s="96">
        <f t="shared" si="2"/>
        <v>4006155</v>
      </c>
      <c r="G35" s="119">
        <f>'Revenue Offset'!G34</f>
        <v>0.53002968146986207</v>
      </c>
      <c r="H35" s="120">
        <f t="shared" si="1"/>
        <v>1882773.9414311047</v>
      </c>
      <c r="J35" s="203"/>
    </row>
    <row r="36" spans="1:10" ht="15" customHeight="1" x14ac:dyDescent="0.2">
      <c r="A36" s="10" t="s">
        <v>43</v>
      </c>
      <c r="B36" s="121" t="s">
        <v>44</v>
      </c>
      <c r="C36" s="93">
        <v>2039206</v>
      </c>
      <c r="D36" s="96">
        <f t="shared" si="0"/>
        <v>10196030</v>
      </c>
      <c r="E36" s="96"/>
      <c r="F36" s="96">
        <f t="shared" si="2"/>
        <v>10196030</v>
      </c>
      <c r="G36" s="119">
        <f>'Revenue Offset'!G35</f>
        <v>0.58053903257431694</v>
      </c>
      <c r="H36" s="120">
        <f t="shared" si="1"/>
        <v>4276836.6077012876</v>
      </c>
      <c r="J36" s="203"/>
    </row>
    <row r="37" spans="1:10" ht="15" customHeight="1" x14ac:dyDescent="0.2">
      <c r="A37" s="10" t="s">
        <v>45</v>
      </c>
      <c r="B37" s="121" t="s">
        <v>136</v>
      </c>
      <c r="C37" s="93">
        <v>502694</v>
      </c>
      <c r="D37" s="96">
        <f t="shared" si="0"/>
        <v>2513470</v>
      </c>
      <c r="E37" s="96"/>
      <c r="F37" s="96">
        <f t="shared" si="2"/>
        <v>2513470</v>
      </c>
      <c r="G37" s="119">
        <f>'Revenue Offset'!G36</f>
        <v>0.52138000733701717</v>
      </c>
      <c r="H37" s="120">
        <f t="shared" si="1"/>
        <v>1202996.9929586274</v>
      </c>
      <c r="J37" s="203"/>
    </row>
    <row r="38" spans="1:10" ht="15" customHeight="1" x14ac:dyDescent="0.2">
      <c r="A38" s="10" t="s">
        <v>47</v>
      </c>
      <c r="B38" s="121" t="s">
        <v>48</v>
      </c>
      <c r="C38" s="93">
        <v>1284478</v>
      </c>
      <c r="D38" s="96">
        <f t="shared" si="0"/>
        <v>6422390</v>
      </c>
      <c r="E38" s="96"/>
      <c r="F38" s="96">
        <f t="shared" si="2"/>
        <v>6422390</v>
      </c>
      <c r="G38" s="119">
        <f>'Revenue Offset'!G37</f>
        <v>0.6051392142122235</v>
      </c>
      <c r="H38" s="120">
        <f t="shared" si="1"/>
        <v>2535949.9620355577</v>
      </c>
      <c r="J38" s="203"/>
    </row>
    <row r="39" spans="1:10" s="58" customFormat="1" ht="15" customHeight="1" x14ac:dyDescent="0.2">
      <c r="A39" s="122"/>
      <c r="B39" s="123"/>
      <c r="C39" s="201"/>
      <c r="D39" s="99"/>
      <c r="E39" s="95"/>
      <c r="F39" s="99"/>
      <c r="H39" s="124"/>
      <c r="I39" s="403"/>
    </row>
    <row r="40" spans="1:10" s="125" customFormat="1" ht="15" customHeight="1" x14ac:dyDescent="0.2">
      <c r="B40" s="126" t="s">
        <v>49</v>
      </c>
      <c r="C40" s="94">
        <f>SUM(C9:C38)</f>
        <v>22236025</v>
      </c>
      <c r="D40" s="94">
        <f>SUM(D9:D38)</f>
        <v>111180125</v>
      </c>
      <c r="E40" s="94">
        <f>SUM(E9:E38)</f>
        <v>1200000</v>
      </c>
      <c r="F40" s="94">
        <f>SUM(F9:F38)</f>
        <v>112380125</v>
      </c>
      <c r="G40" s="127">
        <f>'Revenue Offset'!G39</f>
        <v>0.54195028896308617</v>
      </c>
      <c r="H40" s="94">
        <f>SUM(H9:H38)</f>
        <v>53378191.699738882</v>
      </c>
    </row>
    <row r="42" spans="1:10" ht="12" customHeight="1" x14ac:dyDescent="0.2">
      <c r="B42" s="128"/>
      <c r="D42" s="52"/>
    </row>
    <row r="43" spans="1:10" ht="12" customHeight="1" x14ac:dyDescent="0.2">
      <c r="A43" s="129"/>
      <c r="D43" s="52"/>
    </row>
    <row r="44" spans="1:10" ht="15" customHeight="1" x14ac:dyDescent="0.2">
      <c r="A44" s="16" t="s">
        <v>329</v>
      </c>
      <c r="B44" s="130"/>
    </row>
    <row r="45" spans="1:10" ht="15" customHeight="1" x14ac:dyDescent="0.2">
      <c r="A45" s="129" t="str">
        <f>'FY2015 Detail'!B40</f>
        <v>s:\finance\bargain\FY20 allocation\Summary of FY2020 Institutional Allocation Draft</v>
      </c>
      <c r="B45" s="130"/>
    </row>
    <row r="46" spans="1:10" ht="15" customHeight="1" x14ac:dyDescent="0.2">
      <c r="A46" s="129"/>
      <c r="B46" s="130"/>
    </row>
    <row r="47" spans="1:10" ht="15" customHeight="1" x14ac:dyDescent="0.2">
      <c r="C47" s="55"/>
      <c r="E47" s="96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42"/>
  <sheetViews>
    <sheetView zoomScale="80" zoomScaleNormal="80" workbookViewId="0">
      <selection activeCell="E31" sqref="E31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10" max="12" width="0" hidden="1" customWidth="1"/>
  </cols>
  <sheetData>
    <row r="1" spans="1:12" ht="15" customHeight="1" x14ac:dyDescent="0.25">
      <c r="A1" s="36" t="s">
        <v>254</v>
      </c>
      <c r="E1" s="464" t="s">
        <v>289</v>
      </c>
    </row>
    <row r="2" spans="1:12" ht="15" customHeight="1" x14ac:dyDescent="0.2">
      <c r="A2" s="4" t="s">
        <v>178</v>
      </c>
    </row>
    <row r="3" spans="1:12" ht="15" customHeight="1" x14ac:dyDescent="0.2">
      <c r="A3" s="4" t="s">
        <v>318</v>
      </c>
    </row>
    <row r="4" spans="1:12" ht="15" customHeight="1" x14ac:dyDescent="0.2">
      <c r="C4" s="205" t="s">
        <v>79</v>
      </c>
      <c r="D4" s="205" t="s">
        <v>74</v>
      </c>
      <c r="E4" s="205" t="s">
        <v>75</v>
      </c>
    </row>
    <row r="5" spans="1:12" ht="61.5" customHeight="1" x14ac:dyDescent="0.2">
      <c r="A5" s="215" t="s">
        <v>0</v>
      </c>
      <c r="B5" s="216" t="s">
        <v>83</v>
      </c>
      <c r="C5" s="215" t="s">
        <v>179</v>
      </c>
      <c r="D5" s="31" t="s">
        <v>180</v>
      </c>
      <c r="E5" s="30" t="s">
        <v>147</v>
      </c>
    </row>
    <row r="6" spans="1:12" ht="15" customHeight="1" x14ac:dyDescent="0.2">
      <c r="B6" s="34"/>
      <c r="D6" s="11"/>
      <c r="L6">
        <f>G6-I6</f>
        <v>0</v>
      </c>
    </row>
    <row r="7" spans="1:12" ht="15" customHeight="1" x14ac:dyDescent="0.2">
      <c r="A7" s="218" t="s">
        <v>2</v>
      </c>
      <c r="B7" s="219" t="s">
        <v>128</v>
      </c>
      <c r="C7" s="220">
        <f>'3rd Term Expected'!J6</f>
        <v>0</v>
      </c>
      <c r="D7" s="220">
        <f>'Improvement Allocation'!H6</f>
        <v>0</v>
      </c>
      <c r="E7" s="220">
        <f>C7+D7</f>
        <v>0</v>
      </c>
      <c r="G7" s="305"/>
    </row>
    <row r="8" spans="1:12" s="54" customFormat="1" ht="15" customHeight="1" x14ac:dyDescent="0.2">
      <c r="A8" s="218" t="s">
        <v>4</v>
      </c>
      <c r="B8" s="219" t="s">
        <v>124</v>
      </c>
      <c r="C8" s="222">
        <f>'3rd Term Expected'!J7+'3rd Term Expected'!J8</f>
        <v>0</v>
      </c>
      <c r="D8" s="223">
        <f>'Improvement Allocation'!H7+'Improvement Allocation'!H8</f>
        <v>108000</v>
      </c>
      <c r="E8" s="220">
        <f t="shared" ref="E8:E36" si="0">C8+D8</f>
        <v>108000</v>
      </c>
      <c r="G8" s="305"/>
    </row>
    <row r="9" spans="1:12" ht="15" customHeight="1" x14ac:dyDescent="0.2">
      <c r="A9" s="218" t="s">
        <v>5</v>
      </c>
      <c r="B9" s="219" t="s">
        <v>113</v>
      </c>
      <c r="C9" s="224">
        <f>'3rd Term Expected'!J29+'3rd Term Expected'!J38</f>
        <v>0</v>
      </c>
      <c r="D9" s="224">
        <f>'Improvement Allocation'!H29+'Improvement Allocation'!H38</f>
        <v>20000</v>
      </c>
      <c r="E9" s="220">
        <f t="shared" si="0"/>
        <v>20000</v>
      </c>
      <c r="G9" s="305"/>
    </row>
    <row r="10" spans="1:12" ht="15" customHeight="1" x14ac:dyDescent="0.2">
      <c r="A10" s="218" t="s">
        <v>6</v>
      </c>
      <c r="B10" s="219" t="s">
        <v>7</v>
      </c>
      <c r="C10" s="220">
        <f>'3rd Term Expected'!J9</f>
        <v>0</v>
      </c>
      <c r="D10" s="220">
        <f>'Improvement Allocation'!H9</f>
        <v>52000</v>
      </c>
      <c r="E10" s="220">
        <f t="shared" si="0"/>
        <v>52000</v>
      </c>
      <c r="G10" s="305"/>
    </row>
    <row r="11" spans="1:12" ht="15" customHeight="1" x14ac:dyDescent="0.2">
      <c r="A11" s="218" t="s">
        <v>8</v>
      </c>
      <c r="B11" s="219" t="s">
        <v>9</v>
      </c>
      <c r="C11" s="220">
        <f>'3rd Term Expected'!J10</f>
        <v>0</v>
      </c>
      <c r="D11" s="220">
        <f>'Improvement Allocation'!H10</f>
        <v>0</v>
      </c>
      <c r="E11" s="220">
        <f t="shared" si="0"/>
        <v>0</v>
      </c>
      <c r="G11" s="305"/>
    </row>
    <row r="12" spans="1:12" ht="15" customHeight="1" x14ac:dyDescent="0.2">
      <c r="A12" s="218" t="s">
        <v>10</v>
      </c>
      <c r="B12" s="3" t="s">
        <v>146</v>
      </c>
      <c r="C12" s="220">
        <f>'3rd Term Expected'!J11+'3rd Term Expected'!J14</f>
        <v>398106.26903512812</v>
      </c>
      <c r="D12" s="220">
        <f>'Improvement Allocation'!H11+'Improvement Allocation'!H14</f>
        <v>96000</v>
      </c>
      <c r="E12" s="220">
        <f t="shared" si="0"/>
        <v>494106.26903512812</v>
      </c>
      <c r="G12" s="305"/>
    </row>
    <row r="13" spans="1:12" ht="15" customHeight="1" x14ac:dyDescent="0.2">
      <c r="A13" s="218" t="s">
        <v>12</v>
      </c>
      <c r="B13" s="219" t="s">
        <v>13</v>
      </c>
      <c r="C13" s="220">
        <f>'3rd Term Expected'!J12</f>
        <v>79460.82832716337</v>
      </c>
      <c r="D13" s="220">
        <f>'Improvement Allocation'!H12</f>
        <v>12000</v>
      </c>
      <c r="E13" s="220">
        <f t="shared" si="0"/>
        <v>91460.82832716337</v>
      </c>
      <c r="G13" s="305"/>
    </row>
    <row r="14" spans="1:12" ht="15" customHeight="1" x14ac:dyDescent="0.2">
      <c r="A14" s="218" t="s">
        <v>14</v>
      </c>
      <c r="B14" s="219" t="s">
        <v>139</v>
      </c>
      <c r="C14" s="220">
        <f>'3rd Term Expected'!J13</f>
        <v>0</v>
      </c>
      <c r="D14" s="220">
        <f>'Improvement Allocation'!H13</f>
        <v>84000</v>
      </c>
      <c r="E14" s="220">
        <f t="shared" si="0"/>
        <v>84000</v>
      </c>
      <c r="G14" s="305"/>
    </row>
    <row r="15" spans="1:12" ht="15" customHeight="1" x14ac:dyDescent="0.2">
      <c r="A15" s="218" t="s">
        <v>16</v>
      </c>
      <c r="B15" s="219" t="s">
        <v>17</v>
      </c>
      <c r="C15" s="220">
        <f>'3rd Term Expected'!J15</f>
        <v>0</v>
      </c>
      <c r="D15" s="220">
        <f>'Improvement Allocation'!H15</f>
        <v>4000</v>
      </c>
      <c r="E15" s="220">
        <f t="shared" si="0"/>
        <v>4000</v>
      </c>
      <c r="G15" s="305"/>
    </row>
    <row r="16" spans="1:12" ht="15" customHeight="1" x14ac:dyDescent="0.2">
      <c r="A16" s="218" t="s">
        <v>18</v>
      </c>
      <c r="B16" s="219" t="s">
        <v>140</v>
      </c>
      <c r="C16" s="220">
        <f>'3rd Term Expected'!J39</f>
        <v>0</v>
      </c>
      <c r="D16" s="220">
        <f>'Improvement Allocation'!H39</f>
        <v>0</v>
      </c>
      <c r="E16" s="220">
        <f t="shared" si="0"/>
        <v>0</v>
      </c>
      <c r="G16" s="305"/>
    </row>
    <row r="17" spans="1:7" ht="15" customHeight="1" x14ac:dyDescent="0.2">
      <c r="A17" s="218" t="s">
        <v>19</v>
      </c>
      <c r="B17" s="219" t="s">
        <v>129</v>
      </c>
      <c r="C17" s="220">
        <f>'3rd Term Expected'!J16</f>
        <v>0</v>
      </c>
      <c r="D17" s="220">
        <f>'Improvement Allocation'!H16</f>
        <v>12000</v>
      </c>
      <c r="E17" s="220">
        <f t="shared" si="0"/>
        <v>12000</v>
      </c>
      <c r="G17" s="305"/>
    </row>
    <row r="18" spans="1:7" ht="15" customHeight="1" x14ac:dyDescent="0.2">
      <c r="A18" s="218" t="s">
        <v>21</v>
      </c>
      <c r="B18" s="225" t="s">
        <v>177</v>
      </c>
      <c r="C18" s="220">
        <f>'3rd Term Expected'!J17</f>
        <v>0</v>
      </c>
      <c r="D18" s="220">
        <f>'Improvement Allocation'!H17</f>
        <v>12000</v>
      </c>
      <c r="E18" s="220">
        <f t="shared" si="0"/>
        <v>12000</v>
      </c>
      <c r="G18" s="305"/>
    </row>
    <row r="19" spans="1:7" ht="15" customHeight="1" x14ac:dyDescent="0.2">
      <c r="A19" s="218" t="s">
        <v>109</v>
      </c>
      <c r="B19" s="219" t="s">
        <v>141</v>
      </c>
      <c r="C19" s="220">
        <f>'3rd Term Expected'!J18</f>
        <v>0</v>
      </c>
      <c r="D19" s="220">
        <f>'Improvement Allocation'!H18</f>
        <v>28000</v>
      </c>
      <c r="E19" s="220">
        <f t="shared" si="0"/>
        <v>28000</v>
      </c>
      <c r="G19" s="305"/>
    </row>
    <row r="20" spans="1:7" ht="15" customHeight="1" x14ac:dyDescent="0.2">
      <c r="A20" s="218" t="s">
        <v>26</v>
      </c>
      <c r="B20" s="219" t="s">
        <v>62</v>
      </c>
      <c r="C20" s="220">
        <f>'3rd Term Expected'!J41</f>
        <v>197287.77268639501</v>
      </c>
      <c r="D20" s="220">
        <f>'Improvement Allocation'!H41</f>
        <v>4000</v>
      </c>
      <c r="E20" s="220">
        <f t="shared" si="0"/>
        <v>201287.77268639501</v>
      </c>
      <c r="G20" s="305"/>
    </row>
    <row r="21" spans="1:7" ht="15" customHeight="1" x14ac:dyDescent="0.2">
      <c r="A21" s="218" t="s">
        <v>22</v>
      </c>
      <c r="B21" s="219" t="s">
        <v>23</v>
      </c>
      <c r="C21" s="220">
        <f>'3rd Term Expected'!J40</f>
        <v>319591.37691478047</v>
      </c>
      <c r="D21" s="220">
        <f>'Improvement Allocation'!H40</f>
        <v>0</v>
      </c>
      <c r="E21" s="220">
        <f t="shared" si="0"/>
        <v>319591.37691478047</v>
      </c>
      <c r="G21" s="305"/>
    </row>
    <row r="22" spans="1:7" ht="15" customHeight="1" x14ac:dyDescent="0.2">
      <c r="A22" s="218" t="s">
        <v>24</v>
      </c>
      <c r="B22" s="219" t="s">
        <v>137</v>
      </c>
      <c r="C22" s="220">
        <f>'3rd Term Expected'!J19</f>
        <v>186862.0291451845</v>
      </c>
      <c r="D22" s="220">
        <f>'Improvement Allocation'!H19</f>
        <v>0</v>
      </c>
      <c r="E22" s="220">
        <f t="shared" si="0"/>
        <v>186862.0291451845</v>
      </c>
      <c r="G22" s="305"/>
    </row>
    <row r="23" spans="1:7" ht="15" customHeight="1" x14ac:dyDescent="0.2">
      <c r="A23" s="218" t="s">
        <v>27</v>
      </c>
      <c r="B23" s="219" t="s">
        <v>132</v>
      </c>
      <c r="C23" s="220">
        <f>'3rd Term Expected'!J20</f>
        <v>118313.52232988543</v>
      </c>
      <c r="D23" s="220">
        <f>'Improvement Allocation'!H20</f>
        <v>0</v>
      </c>
      <c r="E23" s="220">
        <f t="shared" si="0"/>
        <v>118313.52232988543</v>
      </c>
      <c r="G23" s="305"/>
    </row>
    <row r="24" spans="1:7" ht="15" customHeight="1" x14ac:dyDescent="0.2">
      <c r="A24" s="218" t="s">
        <v>29</v>
      </c>
      <c r="B24" s="219" t="s">
        <v>133</v>
      </c>
      <c r="C24" s="220">
        <f>'3rd Term Expected'!J21</f>
        <v>437816.97987328988</v>
      </c>
      <c r="D24" s="220">
        <f>'Improvement Allocation'!H21</f>
        <v>0</v>
      </c>
      <c r="E24" s="220">
        <f t="shared" si="0"/>
        <v>437816.97987328988</v>
      </c>
      <c r="G24" s="305"/>
    </row>
    <row r="25" spans="1:7" ht="15" customHeight="1" x14ac:dyDescent="0.2">
      <c r="A25" s="218" t="s">
        <v>118</v>
      </c>
      <c r="B25" s="219" t="s">
        <v>63</v>
      </c>
      <c r="C25" s="224">
        <f>'3rd Term Expected'!J22</f>
        <v>178168.44693350192</v>
      </c>
      <c r="D25" s="224">
        <f>'Improvement Allocation'!H22</f>
        <v>48000</v>
      </c>
      <c r="E25" s="220">
        <f t="shared" si="0"/>
        <v>226168.44693350192</v>
      </c>
      <c r="G25" s="305"/>
    </row>
    <row r="26" spans="1:7" ht="15" customHeight="1" x14ac:dyDescent="0.2">
      <c r="A26" s="218" t="s">
        <v>31</v>
      </c>
      <c r="B26" s="219" t="s">
        <v>134</v>
      </c>
      <c r="C26" s="220">
        <f>'3rd Term Expected'!J28</f>
        <v>0</v>
      </c>
      <c r="D26" s="220">
        <f>'Improvement Allocation'!H28</f>
        <v>0</v>
      </c>
      <c r="E26" s="220">
        <f t="shared" si="0"/>
        <v>0</v>
      </c>
      <c r="G26" s="305"/>
    </row>
    <row r="27" spans="1:7" ht="15" customHeight="1" x14ac:dyDescent="0.2">
      <c r="A27" s="218" t="s">
        <v>33</v>
      </c>
      <c r="B27" s="219" t="s">
        <v>130</v>
      </c>
      <c r="C27" s="220">
        <f>'3rd Term Expected'!J30</f>
        <v>114187.65039843712</v>
      </c>
      <c r="D27" s="220">
        <f>'Improvement Allocation'!H30</f>
        <v>0</v>
      </c>
      <c r="E27" s="220">
        <f t="shared" si="0"/>
        <v>114187.65039843712</v>
      </c>
      <c r="G27" s="305"/>
    </row>
    <row r="28" spans="1:7" ht="15" customHeight="1" x14ac:dyDescent="0.2">
      <c r="A28" s="218" t="s">
        <v>35</v>
      </c>
      <c r="B28" s="219" t="s">
        <v>36</v>
      </c>
      <c r="C28" s="220">
        <f>'3rd Term Expected'!J31</f>
        <v>0</v>
      </c>
      <c r="D28" s="220">
        <f>'Improvement Allocation'!H31</f>
        <v>4000</v>
      </c>
      <c r="E28" s="220">
        <f t="shared" si="0"/>
        <v>4000</v>
      </c>
      <c r="G28" s="305"/>
    </row>
    <row r="29" spans="1:7" ht="15" customHeight="1" x14ac:dyDescent="0.2">
      <c r="A29" s="218" t="s">
        <v>37</v>
      </c>
      <c r="B29" s="219" t="s">
        <v>131</v>
      </c>
      <c r="C29" s="220">
        <f>'3rd Term Expected'!J32</f>
        <v>0</v>
      </c>
      <c r="D29" s="220">
        <f>'Improvement Allocation'!H32</f>
        <v>0</v>
      </c>
      <c r="E29" s="220">
        <f t="shared" si="0"/>
        <v>0</v>
      </c>
      <c r="G29" s="305"/>
    </row>
    <row r="30" spans="1:7" ht="15" customHeight="1" x14ac:dyDescent="0.2">
      <c r="A30" s="218" t="s">
        <v>39</v>
      </c>
      <c r="B30" s="219" t="s">
        <v>135</v>
      </c>
      <c r="C30" s="220">
        <f>'3rd Term Expected'!J33</f>
        <v>0</v>
      </c>
      <c r="D30" s="220">
        <f>'Improvement Allocation'!H33</f>
        <v>88000</v>
      </c>
      <c r="E30" s="220">
        <f t="shared" si="0"/>
        <v>88000</v>
      </c>
      <c r="G30" s="305"/>
    </row>
    <row r="31" spans="1:7" ht="15" customHeight="1" x14ac:dyDescent="0.2">
      <c r="A31" s="218" t="s">
        <v>46</v>
      </c>
      <c r="B31" s="219" t="s">
        <v>70</v>
      </c>
      <c r="C31" s="220">
        <f>'3rd Term Expected'!J35</f>
        <v>132719.97586782346</v>
      </c>
      <c r="D31" s="220">
        <f>'Improvement Allocation'!H35</f>
        <v>140000</v>
      </c>
      <c r="E31" s="220">
        <f t="shared" si="0"/>
        <v>272719.97586782346</v>
      </c>
      <c r="G31" s="305"/>
    </row>
    <row r="32" spans="1:7" ht="15" customHeight="1" x14ac:dyDescent="0.2">
      <c r="A32" s="218" t="s">
        <v>41</v>
      </c>
      <c r="B32" s="219" t="s">
        <v>117</v>
      </c>
      <c r="C32" s="220">
        <f>'3rd Term Expected'!J36</f>
        <v>247581.73857204287</v>
      </c>
      <c r="D32" s="220">
        <f>'Improvement Allocation'!H36</f>
        <v>100000</v>
      </c>
      <c r="E32" s="220">
        <f t="shared" si="0"/>
        <v>347581.7385720429</v>
      </c>
      <c r="G32" s="305"/>
    </row>
    <row r="33" spans="1:9" ht="15" customHeight="1" x14ac:dyDescent="0.2">
      <c r="A33" s="218" t="s">
        <v>42</v>
      </c>
      <c r="B33" s="219" t="s">
        <v>69</v>
      </c>
      <c r="C33" s="220">
        <f>'3rd Term Expected'!J43</f>
        <v>0</v>
      </c>
      <c r="D33" s="220">
        <f>'Improvement Allocation'!H43</f>
        <v>0</v>
      </c>
      <c r="E33" s="220">
        <f t="shared" si="0"/>
        <v>0</v>
      </c>
      <c r="G33" s="305"/>
    </row>
    <row r="34" spans="1:9" ht="15" customHeight="1" x14ac:dyDescent="0.2">
      <c r="A34" s="218" t="s">
        <v>43</v>
      </c>
      <c r="B34" s="219" t="s">
        <v>44</v>
      </c>
      <c r="C34" s="220">
        <f>'3rd Term Expected'!J42</f>
        <v>1012422.8940196794</v>
      </c>
      <c r="D34" s="220">
        <f>'Improvement Allocation'!H42</f>
        <v>0</v>
      </c>
      <c r="E34" s="220">
        <f t="shared" si="0"/>
        <v>1012422.8940196794</v>
      </c>
      <c r="G34" s="305"/>
    </row>
    <row r="35" spans="1:9" ht="15" customHeight="1" x14ac:dyDescent="0.2">
      <c r="A35" s="218" t="s">
        <v>45</v>
      </c>
      <c r="B35" s="219" t="s">
        <v>136</v>
      </c>
      <c r="C35" s="220">
        <f>'3rd Term Expected'!J34</f>
        <v>0</v>
      </c>
      <c r="D35" s="220">
        <f>'Improvement Allocation'!H34</f>
        <v>0</v>
      </c>
      <c r="E35" s="220">
        <f t="shared" si="0"/>
        <v>0</v>
      </c>
      <c r="G35" s="305"/>
    </row>
    <row r="36" spans="1:9" ht="15" customHeight="1" x14ac:dyDescent="0.2">
      <c r="A36" s="218" t="s">
        <v>47</v>
      </c>
      <c r="B36" s="219" t="s">
        <v>48</v>
      </c>
      <c r="C36" s="220">
        <f>'3rd Term Expected'!J44</f>
        <v>0</v>
      </c>
      <c r="D36" s="220">
        <f>'Improvement Allocation'!H44</f>
        <v>0</v>
      </c>
      <c r="E36" s="220">
        <f t="shared" si="0"/>
        <v>0</v>
      </c>
      <c r="G36" s="305"/>
    </row>
    <row r="37" spans="1:9" ht="15" customHeight="1" x14ac:dyDescent="0.2">
      <c r="D37" s="11"/>
      <c r="G37" s="15"/>
      <c r="I37" s="6"/>
    </row>
    <row r="38" spans="1:9" ht="15" customHeight="1" x14ac:dyDescent="0.2">
      <c r="B38" t="s">
        <v>49</v>
      </c>
      <c r="C38" s="226">
        <f>SUM(C7:C37)</f>
        <v>3422519.4841033118</v>
      </c>
      <c r="D38" s="226">
        <f>SUM(D7:D37)</f>
        <v>812000</v>
      </c>
      <c r="E38" s="226">
        <f>SUM(E7:E37)</f>
        <v>4234519.4841033118</v>
      </c>
    </row>
    <row r="40" spans="1:9" ht="15" customHeight="1" x14ac:dyDescent="0.2">
      <c r="A40" s="16" t="s">
        <v>299</v>
      </c>
    </row>
    <row r="41" spans="1:9" ht="15" customHeight="1" x14ac:dyDescent="0.2">
      <c r="A41" s="16" t="s">
        <v>300</v>
      </c>
    </row>
    <row r="42" spans="1:9" ht="15" customHeight="1" x14ac:dyDescent="0.2">
      <c r="A42" s="16"/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Summary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'FY2015 Detail'!Print_Area</vt:lpstr>
      <vt:lpstr>'Improvement Allocation'!Print_Area</vt:lpstr>
      <vt:lpstr>Instruction!Print_Area</vt:lpstr>
      <vt:lpstr>Summary!Print_Area</vt:lpstr>
      <vt:lpstr>'FY2015 Detail'!Print_Titles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2019-06-05T19:39:50Z</cp:lastPrinted>
  <dcterms:created xsi:type="dcterms:W3CDTF">2000-05-30T14:50:23Z</dcterms:created>
  <dcterms:modified xsi:type="dcterms:W3CDTF">2019-06-05T19:40:01Z</dcterms:modified>
</cp:coreProperties>
</file>