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18 Allocation\"/>
    </mc:Choice>
  </mc:AlternateContent>
  <bookViews>
    <workbookView xWindow="315" yWindow="690" windowWidth="11280" windowHeight="5550" tabRatio="602" firstSheet="2" activeTab="2"/>
  </bookViews>
  <sheets>
    <sheet name="FY2015 Detail" sheetId="11" state="hidden" r:id="rId1"/>
    <sheet name="Sheet1" sheetId="32" state="hidden" r:id="rId2"/>
    <sheet name="FY15 Detail" sheetId="24" r:id="rId3"/>
    <sheet name="Instruction" sheetId="17" r:id="rId4"/>
    <sheet name="Academic Support Per FYE" sheetId="20" r:id="rId5"/>
    <sheet name="Student&amp;Institutional Support" sheetId="26" r:id="rId6"/>
    <sheet name="Weighted differ concurrent" sheetId="31" r:id="rId7"/>
    <sheet name="Facilities" sheetId="15" r:id="rId8"/>
    <sheet name="Student Success" sheetId="27" r:id="rId9"/>
    <sheet name="3rd Term Expected" sheetId="28" r:id="rId10"/>
    <sheet name="Improvement Allocation" sheetId="29" r:id="rId11"/>
    <sheet name="Research" sheetId="13" r:id="rId12"/>
    <sheet name="Revenue Offset" sheetId="25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emographic_Distribution_Analysis_Sum" localSheetId="6">#REF!</definedName>
    <definedName name="Demographic_Distribution_Analysis_Sum">#REF!</definedName>
    <definedName name="_xlnm.Print_Area" localSheetId="9">'3rd Term Expected'!$A$1:$J$47</definedName>
    <definedName name="_xlnm.Print_Area" localSheetId="2">'FY15 Detail'!$B$1:$Z$41</definedName>
    <definedName name="_xlnm.Print_Area" localSheetId="0">'FY2015 Detail'!$B$1:$D$40</definedName>
    <definedName name="_xlnm.Print_Area" localSheetId="10">'Improvement Allocation'!$A$1:$H$47</definedName>
    <definedName name="_xlnm.Print_Area" localSheetId="3">Instruction!$A$1:$L$43</definedName>
    <definedName name="_xlnm.Print_Titles" localSheetId="2">'FY15 Detail'!$B:$C</definedName>
    <definedName name="_xlnm.Print_Titles" localSheetId="0">'FY2015 Detail'!$B:$C</definedName>
    <definedName name="vv" localSheetId="6">#REF!</definedName>
    <definedName name="vv">#REF!</definedName>
  </definedNames>
  <calcPr calcId="152511"/>
</workbook>
</file>

<file path=xl/calcChain.xml><?xml version="1.0" encoding="utf-8"?>
<calcChain xmlns="http://schemas.openxmlformats.org/spreadsheetml/2006/main">
  <c r="O41" i="24" l="1"/>
  <c r="Z37" i="24" l="1"/>
  <c r="Y37" i="24" l="1"/>
  <c r="O39" i="24" l="1"/>
  <c r="W11" i="24"/>
  <c r="X11" i="24" l="1"/>
  <c r="X8" i="24"/>
  <c r="X7" i="24"/>
  <c r="L8" i="15" l="1"/>
  <c r="L6" i="27"/>
  <c r="L8" i="28"/>
  <c r="L8" i="29"/>
  <c r="L8" i="13"/>
  <c r="L8" i="25"/>
  <c r="L37" i="25" l="1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K8" i="25"/>
  <c r="D11" i="13" l="1"/>
  <c r="G47" i="31" l="1"/>
  <c r="F47" i="31"/>
  <c r="E47" i="31"/>
  <c r="D47" i="31"/>
  <c r="C47" i="31"/>
  <c r="B47" i="31"/>
  <c r="K46" i="31"/>
  <c r="J46" i="31"/>
  <c r="H46" i="31"/>
  <c r="K45" i="31"/>
  <c r="H45" i="31"/>
  <c r="J45" i="31" s="1"/>
  <c r="K44" i="31"/>
  <c r="H44" i="31"/>
  <c r="J44" i="31" s="1"/>
  <c r="L44" i="31" s="1"/>
  <c r="M44" i="31" s="1"/>
  <c r="K43" i="31"/>
  <c r="H43" i="31"/>
  <c r="J43" i="31" s="1"/>
  <c r="K42" i="31"/>
  <c r="H42" i="31"/>
  <c r="J42" i="31" s="1"/>
  <c r="K41" i="31"/>
  <c r="H41" i="31"/>
  <c r="J41" i="31" s="1"/>
  <c r="K40" i="31"/>
  <c r="H40" i="31"/>
  <c r="J40" i="31" s="1"/>
  <c r="L40" i="31" s="1"/>
  <c r="G37" i="31"/>
  <c r="G48" i="31" s="1"/>
  <c r="F37" i="31"/>
  <c r="E37" i="31"/>
  <c r="E48" i="31" s="1"/>
  <c r="D37" i="31"/>
  <c r="D48" i="31" s="1"/>
  <c r="C37" i="31"/>
  <c r="B37" i="31"/>
  <c r="K36" i="31"/>
  <c r="H36" i="31"/>
  <c r="J36" i="31" s="1"/>
  <c r="K35" i="31"/>
  <c r="H35" i="31"/>
  <c r="J35" i="31" s="1"/>
  <c r="L35" i="31" s="1"/>
  <c r="M35" i="31" s="1"/>
  <c r="K34" i="31"/>
  <c r="H34" i="31"/>
  <c r="J34" i="31" s="1"/>
  <c r="L34" i="31" s="1"/>
  <c r="M34" i="31" s="1"/>
  <c r="K33" i="31"/>
  <c r="H33" i="31"/>
  <c r="J33" i="31" s="1"/>
  <c r="L33" i="31" s="1"/>
  <c r="M33" i="31" s="1"/>
  <c r="K32" i="31"/>
  <c r="H32" i="31"/>
  <c r="J32" i="31" s="1"/>
  <c r="L32" i="31" s="1"/>
  <c r="M32" i="31" s="1"/>
  <c r="K31" i="31"/>
  <c r="H31" i="31"/>
  <c r="J31" i="31" s="1"/>
  <c r="K30" i="31"/>
  <c r="H30" i="31"/>
  <c r="J30" i="31" s="1"/>
  <c r="K29" i="31"/>
  <c r="H29" i="31"/>
  <c r="J29" i="31" s="1"/>
  <c r="L29" i="31" s="1"/>
  <c r="M29" i="31" s="1"/>
  <c r="K28" i="31"/>
  <c r="H28" i="31"/>
  <c r="J28" i="31" s="1"/>
  <c r="L28" i="31" s="1"/>
  <c r="M28" i="31" s="1"/>
  <c r="K27" i="31"/>
  <c r="H27" i="31"/>
  <c r="J27" i="31" s="1"/>
  <c r="K26" i="31"/>
  <c r="H26" i="31"/>
  <c r="J26" i="31" s="1"/>
  <c r="K25" i="31"/>
  <c r="H25" i="31"/>
  <c r="J25" i="31" s="1"/>
  <c r="L25" i="31" s="1"/>
  <c r="M25" i="31" s="1"/>
  <c r="K24" i="31"/>
  <c r="H24" i="31"/>
  <c r="J24" i="31" s="1"/>
  <c r="L24" i="31" s="1"/>
  <c r="M24" i="31" s="1"/>
  <c r="K23" i="31"/>
  <c r="H23" i="31"/>
  <c r="J23" i="31" s="1"/>
  <c r="K22" i="31"/>
  <c r="H22" i="31"/>
  <c r="J22" i="31" s="1"/>
  <c r="L22" i="31" s="1"/>
  <c r="M22" i="31" s="1"/>
  <c r="K21" i="31"/>
  <c r="H21" i="31"/>
  <c r="J21" i="31" s="1"/>
  <c r="L21" i="31" s="1"/>
  <c r="M21" i="31" s="1"/>
  <c r="K20" i="31"/>
  <c r="H20" i="31"/>
  <c r="J20" i="31" s="1"/>
  <c r="K19" i="31"/>
  <c r="H19" i="31"/>
  <c r="J19" i="31" s="1"/>
  <c r="L19" i="31" s="1"/>
  <c r="M19" i="31" s="1"/>
  <c r="K18" i="31"/>
  <c r="H18" i="31"/>
  <c r="J18" i="31" s="1"/>
  <c r="L18" i="31" s="1"/>
  <c r="M18" i="31" s="1"/>
  <c r="K17" i="31"/>
  <c r="H17" i="31"/>
  <c r="J17" i="31" s="1"/>
  <c r="L17" i="31" s="1"/>
  <c r="M17" i="31" s="1"/>
  <c r="K16" i="31"/>
  <c r="H16" i="31"/>
  <c r="J16" i="31" s="1"/>
  <c r="K15" i="31"/>
  <c r="H15" i="31"/>
  <c r="J15" i="31" s="1"/>
  <c r="K14" i="31"/>
  <c r="H14" i="31"/>
  <c r="J14" i="31" s="1"/>
  <c r="L14" i="31" s="1"/>
  <c r="M14" i="31" s="1"/>
  <c r="K13" i="31"/>
  <c r="H13" i="31"/>
  <c r="J13" i="31" s="1"/>
  <c r="L13" i="31" s="1"/>
  <c r="M13" i="31" s="1"/>
  <c r="K12" i="31"/>
  <c r="H12" i="31"/>
  <c r="J12" i="31" s="1"/>
  <c r="K11" i="31"/>
  <c r="H11" i="31"/>
  <c r="J11" i="31" s="1"/>
  <c r="K10" i="31"/>
  <c r="H10" i="31"/>
  <c r="J10" i="31" s="1"/>
  <c r="K9" i="31"/>
  <c r="H9" i="31"/>
  <c r="J9" i="31" s="1"/>
  <c r="L9" i="31" s="1"/>
  <c r="M9" i="31" s="1"/>
  <c r="K8" i="31"/>
  <c r="H8" i="31"/>
  <c r="J8" i="31" s="1"/>
  <c r="K7" i="31"/>
  <c r="H7" i="31"/>
  <c r="J7" i="31" s="1"/>
  <c r="K6" i="31"/>
  <c r="H6" i="31"/>
  <c r="J6" i="31" s="1"/>
  <c r="B48" i="31" l="1"/>
  <c r="L11" i="31"/>
  <c r="M11" i="31" s="1"/>
  <c r="L15" i="31"/>
  <c r="M15" i="31" s="1"/>
  <c r="L30" i="31"/>
  <c r="M30" i="31" s="1"/>
  <c r="C48" i="31"/>
  <c r="L41" i="31"/>
  <c r="M41" i="31" s="1"/>
  <c r="L45" i="31"/>
  <c r="M45" i="31" s="1"/>
  <c r="L8" i="31"/>
  <c r="M8" i="31" s="1"/>
  <c r="L12" i="31"/>
  <c r="M12" i="31" s="1"/>
  <c r="L16" i="31"/>
  <c r="M16" i="31" s="1"/>
  <c r="L27" i="31"/>
  <c r="M27" i="31" s="1"/>
  <c r="L31" i="31"/>
  <c r="M31" i="31" s="1"/>
  <c r="L42" i="31"/>
  <c r="M42" i="31" s="1"/>
  <c r="K47" i="31"/>
  <c r="K37" i="31"/>
  <c r="F48" i="31"/>
  <c r="L10" i="31"/>
  <c r="M10" i="31" s="1"/>
  <c r="L26" i="31"/>
  <c r="M26" i="31" s="1"/>
  <c r="L7" i="31"/>
  <c r="M7" i="31" s="1"/>
  <c r="L20" i="31"/>
  <c r="M20" i="31" s="1"/>
  <c r="L23" i="31"/>
  <c r="M23" i="31" s="1"/>
  <c r="L36" i="31"/>
  <c r="M36" i="31" s="1"/>
  <c r="H47" i="31"/>
  <c r="L43" i="31"/>
  <c r="M43" i="31" s="1"/>
  <c r="L46" i="31"/>
  <c r="M46" i="31" s="1"/>
  <c r="J37" i="31"/>
  <c r="L6" i="31"/>
  <c r="L47" i="31"/>
  <c r="M47" i="31" s="1"/>
  <c r="M40" i="31"/>
  <c r="H37" i="31"/>
  <c r="J47" i="31"/>
  <c r="H48" i="31" l="1"/>
  <c r="I46" i="31" s="1"/>
  <c r="K48" i="31"/>
  <c r="I42" i="31"/>
  <c r="I23" i="31"/>
  <c r="I41" i="31"/>
  <c r="I8" i="31"/>
  <c r="I34" i="31"/>
  <c r="I24" i="31"/>
  <c r="L37" i="31"/>
  <c r="M6" i="31"/>
  <c r="I18" i="31"/>
  <c r="J48" i="31"/>
  <c r="I31" i="31" l="1"/>
  <c r="I7" i="31"/>
  <c r="I16" i="31"/>
  <c r="I14" i="31"/>
  <c r="I19" i="31"/>
  <c r="I32" i="31"/>
  <c r="I45" i="31"/>
  <c r="I13" i="31"/>
  <c r="I35" i="31"/>
  <c r="I26" i="31"/>
  <c r="I6" i="31"/>
  <c r="I25" i="31"/>
  <c r="I22" i="31" s="1"/>
  <c r="I37" i="31" s="1"/>
  <c r="I48" i="31" s="1"/>
  <c r="I17" i="31"/>
  <c r="I44" i="31"/>
  <c r="I28" i="31"/>
  <c r="I40" i="31"/>
  <c r="I47" i="31" s="1"/>
  <c r="I43" i="31"/>
  <c r="I12" i="31"/>
  <c r="I9" i="31"/>
  <c r="I27" i="31"/>
  <c r="I20" i="31"/>
  <c r="I36" i="31"/>
  <c r="I11" i="31"/>
  <c r="I29" i="31"/>
  <c r="I21" i="31"/>
  <c r="I30" i="31"/>
  <c r="I10" i="31"/>
  <c r="I15" i="31"/>
  <c r="I33" i="31"/>
  <c r="L48" i="31"/>
  <c r="M37" i="31"/>
  <c r="L52" i="31" l="1"/>
  <c r="M48" i="31"/>
  <c r="D16" i="15" l="1"/>
  <c r="F27" i="15"/>
  <c r="D14" i="13" l="1"/>
  <c r="C11" i="13"/>
  <c r="D36" i="27" l="1"/>
  <c r="D35" i="27"/>
  <c r="D34" i="27"/>
  <c r="D33" i="27"/>
  <c r="E33" i="27" s="1"/>
  <c r="H32" i="24" s="1"/>
  <c r="D32" i="27"/>
  <c r="D31" i="27"/>
  <c r="D30" i="27"/>
  <c r="D29" i="27"/>
  <c r="D28" i="27"/>
  <c r="D27" i="27"/>
  <c r="D26" i="27"/>
  <c r="E26" i="27" s="1"/>
  <c r="H25" i="24" s="1"/>
  <c r="D25" i="27"/>
  <c r="E25" i="27" s="1"/>
  <c r="H24" i="24" s="1"/>
  <c r="D24" i="27"/>
  <c r="D23" i="27"/>
  <c r="D22" i="27"/>
  <c r="D21" i="27"/>
  <c r="E21" i="27" s="1"/>
  <c r="H20" i="24" s="1"/>
  <c r="D20" i="27"/>
  <c r="D19" i="27"/>
  <c r="D18" i="27"/>
  <c r="E18" i="27" s="1"/>
  <c r="H17" i="24" s="1"/>
  <c r="D17" i="27"/>
  <c r="D16" i="27"/>
  <c r="D15" i="27"/>
  <c r="E15" i="27" s="1"/>
  <c r="H14" i="24" s="1"/>
  <c r="D14" i="27"/>
  <c r="D13" i="27"/>
  <c r="D12" i="27"/>
  <c r="D11" i="27"/>
  <c r="D10" i="27"/>
  <c r="D9" i="27"/>
  <c r="D8" i="27"/>
  <c r="D7" i="27"/>
  <c r="C36" i="27"/>
  <c r="C35" i="27"/>
  <c r="C34" i="27"/>
  <c r="C33" i="27"/>
  <c r="C32" i="27"/>
  <c r="C31" i="27"/>
  <c r="C30" i="27"/>
  <c r="E30" i="27" s="1"/>
  <c r="H29" i="24" s="1"/>
  <c r="C29" i="27"/>
  <c r="C28" i="27"/>
  <c r="E28" i="27" s="1"/>
  <c r="H27" i="24" s="1"/>
  <c r="C27" i="27"/>
  <c r="C26" i="27"/>
  <c r="C25" i="27"/>
  <c r="C24" i="27"/>
  <c r="E24" i="27" s="1"/>
  <c r="H23" i="24" s="1"/>
  <c r="C23" i="27"/>
  <c r="E23" i="27" s="1"/>
  <c r="H22" i="24" s="1"/>
  <c r="C22" i="27"/>
  <c r="C21" i="27"/>
  <c r="C20" i="27"/>
  <c r="C19" i="27"/>
  <c r="E19" i="27" s="1"/>
  <c r="H18" i="24" s="1"/>
  <c r="C18" i="27"/>
  <c r="C17" i="27"/>
  <c r="C15" i="27"/>
  <c r="C14" i="27"/>
  <c r="C13" i="27"/>
  <c r="C12" i="27"/>
  <c r="C11" i="27"/>
  <c r="E11" i="27" s="1"/>
  <c r="H10" i="24" s="1"/>
  <c r="C10" i="27"/>
  <c r="E10" i="27" s="1"/>
  <c r="H9" i="24" s="1"/>
  <c r="C9" i="27"/>
  <c r="C8" i="27"/>
  <c r="C7" i="27"/>
  <c r="E46" i="29"/>
  <c r="F45" i="29"/>
  <c r="E45" i="29"/>
  <c r="E44" i="29"/>
  <c r="G44" i="29" s="1"/>
  <c r="H44" i="29" s="1"/>
  <c r="E43" i="29"/>
  <c r="G43" i="29" s="1"/>
  <c r="H43" i="29" s="1"/>
  <c r="G42" i="29"/>
  <c r="H42" i="29" s="1"/>
  <c r="E42" i="29"/>
  <c r="G41" i="29"/>
  <c r="H41" i="29" s="1"/>
  <c r="E41" i="29"/>
  <c r="E40" i="29"/>
  <c r="G40" i="29" s="1"/>
  <c r="H40" i="29" s="1"/>
  <c r="E39" i="29"/>
  <c r="G39" i="29" s="1"/>
  <c r="H39" i="29" s="1"/>
  <c r="E38" i="29"/>
  <c r="G38" i="29" s="1"/>
  <c r="F37" i="29"/>
  <c r="F46" i="29" s="1"/>
  <c r="E37" i="29"/>
  <c r="G36" i="29"/>
  <c r="H36" i="29" s="1"/>
  <c r="E36" i="29"/>
  <c r="E35" i="29"/>
  <c r="G35" i="29" s="1"/>
  <c r="H35" i="29" s="1"/>
  <c r="E34" i="29"/>
  <c r="G34" i="29" s="1"/>
  <c r="H34" i="29" s="1"/>
  <c r="E33" i="29"/>
  <c r="G33" i="29" s="1"/>
  <c r="H33" i="29" s="1"/>
  <c r="E32" i="29"/>
  <c r="G32" i="29" s="1"/>
  <c r="H32" i="29" s="1"/>
  <c r="E31" i="29"/>
  <c r="G31" i="29" s="1"/>
  <c r="H31" i="29" s="1"/>
  <c r="E30" i="29"/>
  <c r="G30" i="29" s="1"/>
  <c r="H30" i="29" s="1"/>
  <c r="G29" i="29"/>
  <c r="H29" i="29" s="1"/>
  <c r="E29" i="29"/>
  <c r="G28" i="29"/>
  <c r="H28" i="29" s="1"/>
  <c r="E28" i="29"/>
  <c r="E27" i="29"/>
  <c r="G27" i="29" s="1"/>
  <c r="H27" i="29" s="1"/>
  <c r="E26" i="29"/>
  <c r="G26" i="29" s="1"/>
  <c r="H26" i="29" s="1"/>
  <c r="E25" i="29"/>
  <c r="G25" i="29" s="1"/>
  <c r="H25" i="29" s="1"/>
  <c r="E24" i="29"/>
  <c r="G24" i="29" s="1"/>
  <c r="H24" i="29" s="1"/>
  <c r="E23" i="29"/>
  <c r="G23" i="29" s="1"/>
  <c r="F22" i="29"/>
  <c r="E22" i="29"/>
  <c r="E21" i="29"/>
  <c r="G21" i="29" s="1"/>
  <c r="H21" i="29" s="1"/>
  <c r="E20" i="29"/>
  <c r="G20" i="29" s="1"/>
  <c r="H20" i="29" s="1"/>
  <c r="E19" i="29"/>
  <c r="G19" i="29" s="1"/>
  <c r="H19" i="29" s="1"/>
  <c r="E18" i="29"/>
  <c r="G18" i="29" s="1"/>
  <c r="H18" i="29" s="1"/>
  <c r="E17" i="29"/>
  <c r="G17" i="29" s="1"/>
  <c r="H17" i="29" s="1"/>
  <c r="G16" i="29"/>
  <c r="H16" i="29" s="1"/>
  <c r="E16" i="29"/>
  <c r="G15" i="29"/>
  <c r="H15" i="29" s="1"/>
  <c r="E15" i="29"/>
  <c r="E14" i="29"/>
  <c r="G14" i="29" s="1"/>
  <c r="H14" i="29" s="1"/>
  <c r="E13" i="29"/>
  <c r="G13" i="29" s="1"/>
  <c r="H13" i="29" s="1"/>
  <c r="E12" i="29"/>
  <c r="G12" i="29" s="1"/>
  <c r="H12" i="29" s="1"/>
  <c r="E11" i="29"/>
  <c r="G11" i="29" s="1"/>
  <c r="H11" i="29" s="1"/>
  <c r="E10" i="29"/>
  <c r="G10" i="29" s="1"/>
  <c r="H10" i="29" s="1"/>
  <c r="E9" i="29"/>
  <c r="G9" i="29" s="1"/>
  <c r="H9" i="29" s="1"/>
  <c r="G8" i="29"/>
  <c r="H8" i="29" s="1"/>
  <c r="E8" i="29"/>
  <c r="G7" i="29"/>
  <c r="H7" i="29" s="1"/>
  <c r="E7" i="29"/>
  <c r="E6" i="29"/>
  <c r="G6" i="29" s="1"/>
  <c r="H45" i="28"/>
  <c r="G45" i="28" s="1"/>
  <c r="F45" i="28"/>
  <c r="C45" i="28"/>
  <c r="D45" i="28" s="1"/>
  <c r="B45" i="28"/>
  <c r="E45" i="28" s="1"/>
  <c r="I44" i="28"/>
  <c r="J44" i="28" s="1"/>
  <c r="I43" i="28"/>
  <c r="J43" i="28" s="1"/>
  <c r="J42" i="28"/>
  <c r="I42" i="28"/>
  <c r="I41" i="28"/>
  <c r="J41" i="28" s="1"/>
  <c r="I40" i="28"/>
  <c r="I45" i="28" s="1"/>
  <c r="J39" i="28"/>
  <c r="C16" i="27" s="1"/>
  <c r="J38" i="28"/>
  <c r="I38" i="28"/>
  <c r="H37" i="28"/>
  <c r="H46" i="28" s="1"/>
  <c r="G37" i="28"/>
  <c r="B37" i="28"/>
  <c r="B46" i="28" s="1"/>
  <c r="I36" i="28"/>
  <c r="J36" i="28" s="1"/>
  <c r="J35" i="28"/>
  <c r="I35" i="28"/>
  <c r="I34" i="28"/>
  <c r="J34" i="28" s="1"/>
  <c r="I33" i="28"/>
  <c r="J33" i="28" s="1"/>
  <c r="I32" i="28"/>
  <c r="J32" i="28" s="1"/>
  <c r="J31" i="28"/>
  <c r="I31" i="28"/>
  <c r="I30" i="28"/>
  <c r="J30" i="28" s="1"/>
  <c r="I29" i="28"/>
  <c r="J29" i="28" s="1"/>
  <c r="I28" i="28"/>
  <c r="J28" i="28" s="1"/>
  <c r="J27" i="28"/>
  <c r="I27" i="28"/>
  <c r="I26" i="28"/>
  <c r="J26" i="28" s="1"/>
  <c r="I25" i="28"/>
  <c r="J25" i="28" s="1"/>
  <c r="I24" i="28"/>
  <c r="I22" i="28" s="1"/>
  <c r="J22" i="28" s="1"/>
  <c r="J23" i="28"/>
  <c r="I23" i="28"/>
  <c r="H22" i="28"/>
  <c r="G22" i="28"/>
  <c r="F22" i="28"/>
  <c r="F37" i="28" s="1"/>
  <c r="E22" i="28"/>
  <c r="D22" i="28"/>
  <c r="C22" i="28"/>
  <c r="C37" i="28" s="1"/>
  <c r="B22" i="28"/>
  <c r="J21" i="28"/>
  <c r="I21" i="28"/>
  <c r="I20" i="28"/>
  <c r="J20" i="28" s="1"/>
  <c r="I19" i="28"/>
  <c r="J19" i="28" s="1"/>
  <c r="I18" i="28"/>
  <c r="J18" i="28" s="1"/>
  <c r="J17" i="28"/>
  <c r="I17" i="28"/>
  <c r="I16" i="28"/>
  <c r="J16" i="28" s="1"/>
  <c r="I15" i="28"/>
  <c r="J15" i="28" s="1"/>
  <c r="I14" i="28"/>
  <c r="J14" i="28" s="1"/>
  <c r="J13" i="28"/>
  <c r="I13" i="28"/>
  <c r="I12" i="28"/>
  <c r="J12" i="28" s="1"/>
  <c r="I11" i="28"/>
  <c r="J11" i="28" s="1"/>
  <c r="I10" i="28"/>
  <c r="J10" i="28" s="1"/>
  <c r="J9" i="28"/>
  <c r="I9" i="28"/>
  <c r="I8" i="28"/>
  <c r="J8" i="28" s="1"/>
  <c r="I7" i="28"/>
  <c r="J7" i="28" s="1"/>
  <c r="I6" i="28"/>
  <c r="J6" i="28" s="1"/>
  <c r="A40" i="27"/>
  <c r="E36" i="27"/>
  <c r="H35" i="24" s="1"/>
  <c r="E9" i="27"/>
  <c r="H8" i="24" s="1"/>
  <c r="E7" i="27"/>
  <c r="H6" i="24" s="1"/>
  <c r="E29" i="27" l="1"/>
  <c r="H28" i="24" s="1"/>
  <c r="E13" i="27"/>
  <c r="H12" i="24" s="1"/>
  <c r="E14" i="27"/>
  <c r="H13" i="24" s="1"/>
  <c r="C38" i="27"/>
  <c r="E20" i="27"/>
  <c r="H19" i="24" s="1"/>
  <c r="E35" i="27"/>
  <c r="H34" i="24" s="1"/>
  <c r="E34" i="27"/>
  <c r="H33" i="24" s="1"/>
  <c r="E32" i="27"/>
  <c r="H31" i="24" s="1"/>
  <c r="E31" i="27"/>
  <c r="H30" i="24" s="1"/>
  <c r="E27" i="27"/>
  <c r="H26" i="24" s="1"/>
  <c r="E22" i="27"/>
  <c r="H21" i="24" s="1"/>
  <c r="E17" i="27"/>
  <c r="H16" i="24" s="1"/>
  <c r="E16" i="27"/>
  <c r="H15" i="24" s="1"/>
  <c r="D38" i="27"/>
  <c r="E12" i="27"/>
  <c r="H11" i="24" s="1"/>
  <c r="E8" i="27"/>
  <c r="H7" i="24" s="1"/>
  <c r="H38" i="29"/>
  <c r="G45" i="29"/>
  <c r="H45" i="29" s="1"/>
  <c r="H6" i="29"/>
  <c r="H23" i="29"/>
  <c r="H22" i="29" s="1"/>
  <c r="G22" i="29"/>
  <c r="G37" i="29" s="1"/>
  <c r="G46" i="29" s="1"/>
  <c r="D37" i="28"/>
  <c r="C46" i="28"/>
  <c r="D46" i="28" s="1"/>
  <c r="G46" i="28"/>
  <c r="J37" i="28"/>
  <c r="F46" i="28"/>
  <c r="E46" i="28" s="1"/>
  <c r="E37" i="28"/>
  <c r="J40" i="28"/>
  <c r="J45" i="28" s="1"/>
  <c r="J24" i="28"/>
  <c r="I37" i="28"/>
  <c r="I46" i="28" s="1"/>
  <c r="E38" i="27" l="1"/>
  <c r="H37" i="29"/>
  <c r="H46" i="29" s="1"/>
  <c r="J46" i="28"/>
  <c r="C34" i="17"/>
  <c r="H37" i="17"/>
  <c r="C37" i="17"/>
  <c r="H35" i="17"/>
  <c r="C35" i="17"/>
  <c r="H22" i="17"/>
  <c r="C22" i="17"/>
  <c r="H17" i="17"/>
  <c r="C17" i="17"/>
  <c r="C21" i="17"/>
  <c r="C10" i="17"/>
  <c r="C31" i="15" l="1"/>
  <c r="C27" i="15"/>
  <c r="C24" i="15"/>
  <c r="C20" i="15"/>
  <c r="C12" i="15"/>
  <c r="K37" i="25" l="1"/>
  <c r="K36" i="25"/>
  <c r="K35" i="25"/>
  <c r="K34" i="25"/>
  <c r="K33" i="25"/>
  <c r="K32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G14" i="26" l="1"/>
  <c r="G11" i="26"/>
  <c r="G10" i="26"/>
  <c r="C34" i="15" l="1"/>
  <c r="C30" i="15"/>
  <c r="C14" i="15"/>
  <c r="D11" i="24"/>
  <c r="D8" i="24"/>
  <c r="D11" i="11"/>
  <c r="D8" i="11"/>
  <c r="G19" i="25"/>
  <c r="C38" i="26" l="1"/>
  <c r="F38" i="26" s="1"/>
  <c r="C37" i="26"/>
  <c r="F37" i="26" s="1"/>
  <c r="C36" i="26"/>
  <c r="F36" i="26" s="1"/>
  <c r="C35" i="26"/>
  <c r="F35" i="26" s="1"/>
  <c r="C34" i="26"/>
  <c r="F34" i="26" s="1"/>
  <c r="C33" i="26"/>
  <c r="F33" i="26" s="1"/>
  <c r="C32" i="26"/>
  <c r="F32" i="26" s="1"/>
  <c r="C31" i="26"/>
  <c r="F31" i="26" s="1"/>
  <c r="C30" i="26"/>
  <c r="C29" i="26"/>
  <c r="F29" i="26" s="1"/>
  <c r="C28" i="26"/>
  <c r="F28" i="26" s="1"/>
  <c r="C27" i="26"/>
  <c r="C26" i="26"/>
  <c r="F26" i="26" s="1"/>
  <c r="C25" i="26"/>
  <c r="F25" i="26" s="1"/>
  <c r="C24" i="26"/>
  <c r="F24" i="26" s="1"/>
  <c r="C23" i="26"/>
  <c r="F23" i="26" s="1"/>
  <c r="C22" i="26"/>
  <c r="F22" i="26" s="1"/>
  <c r="C21" i="26"/>
  <c r="F21" i="26" s="1"/>
  <c r="C20" i="26"/>
  <c r="F20" i="26" s="1"/>
  <c r="C19" i="26"/>
  <c r="C18" i="26"/>
  <c r="F18" i="26" s="1"/>
  <c r="C17" i="26"/>
  <c r="F17" i="26" s="1"/>
  <c r="C16" i="26"/>
  <c r="F16" i="26" s="1"/>
  <c r="C15" i="26"/>
  <c r="F15" i="26" s="1"/>
  <c r="C14" i="26"/>
  <c r="C13" i="26"/>
  <c r="F13" i="26" s="1"/>
  <c r="C12" i="26"/>
  <c r="F12" i="26" s="1"/>
  <c r="C11" i="26"/>
  <c r="F11" i="26" s="1"/>
  <c r="C10" i="26"/>
  <c r="F10" i="26" s="1"/>
  <c r="C9" i="26"/>
  <c r="N43" i="26"/>
  <c r="N42" i="26"/>
  <c r="A42" i="26"/>
  <c r="R40" i="26"/>
  <c r="H40" i="26"/>
  <c r="D40" i="26"/>
  <c r="J38" i="26"/>
  <c r="J37" i="26"/>
  <c r="J36" i="26"/>
  <c r="J35" i="26"/>
  <c r="J34" i="26"/>
  <c r="J33" i="26"/>
  <c r="J32" i="26"/>
  <c r="P31" i="26"/>
  <c r="J31" i="26"/>
  <c r="J30" i="26"/>
  <c r="F30" i="26"/>
  <c r="J29" i="26"/>
  <c r="J28" i="26"/>
  <c r="P27" i="26"/>
  <c r="J27" i="26"/>
  <c r="F27" i="26"/>
  <c r="J26" i="26"/>
  <c r="J25" i="26"/>
  <c r="P24" i="26"/>
  <c r="J24" i="26"/>
  <c r="J23" i="26"/>
  <c r="J22" i="26"/>
  <c r="P21" i="26"/>
  <c r="J21" i="26"/>
  <c r="J20" i="26"/>
  <c r="J19" i="26"/>
  <c r="F19" i="26"/>
  <c r="J18" i="26"/>
  <c r="J17" i="26"/>
  <c r="J16" i="26"/>
  <c r="J15" i="26"/>
  <c r="J14" i="26"/>
  <c r="F14" i="26"/>
  <c r="J13" i="26"/>
  <c r="J12" i="26"/>
  <c r="J11" i="26"/>
  <c r="P10" i="26"/>
  <c r="J10" i="26"/>
  <c r="J9" i="26"/>
  <c r="K24" i="26" l="1"/>
  <c r="K34" i="26"/>
  <c r="K28" i="26"/>
  <c r="K14" i="26"/>
  <c r="K33" i="26"/>
  <c r="K12" i="26"/>
  <c r="K19" i="26"/>
  <c r="K15" i="26"/>
  <c r="P40" i="26"/>
  <c r="K32" i="26"/>
  <c r="K31" i="26"/>
  <c r="K38" i="26"/>
  <c r="K20" i="26"/>
  <c r="K22" i="26"/>
  <c r="K29" i="26"/>
  <c r="K37" i="26"/>
  <c r="K17" i="26"/>
  <c r="K21" i="26"/>
  <c r="K27" i="26"/>
  <c r="K23" i="26"/>
  <c r="K35" i="26"/>
  <c r="K26" i="26"/>
  <c r="K25" i="26"/>
  <c r="J40" i="26"/>
  <c r="K10" i="26"/>
  <c r="K30" i="26"/>
  <c r="K36" i="26"/>
  <c r="K16" i="26"/>
  <c r="C40" i="26"/>
  <c r="F9" i="26"/>
  <c r="F40" i="26" s="1"/>
  <c r="K11" i="26"/>
  <c r="K18" i="26"/>
  <c r="K13" i="26"/>
  <c r="G40" i="26"/>
  <c r="K9" i="26" l="1"/>
  <c r="K40" i="26" l="1"/>
  <c r="A42" i="25" l="1"/>
  <c r="F39" i="25"/>
  <c r="D39" i="25"/>
  <c r="C39" i="25"/>
  <c r="E37" i="25"/>
  <c r="G37" i="25" s="1"/>
  <c r="E36" i="25"/>
  <c r="G36" i="25" s="1"/>
  <c r="E35" i="25"/>
  <c r="G35" i="25" s="1"/>
  <c r="E34" i="25"/>
  <c r="G34" i="25" s="1"/>
  <c r="E33" i="25"/>
  <c r="G33" i="25" s="1"/>
  <c r="E32" i="25"/>
  <c r="G32" i="25" s="1"/>
  <c r="E31" i="25"/>
  <c r="G31" i="25" s="1"/>
  <c r="K31" i="25" s="1"/>
  <c r="K39" i="25" s="1"/>
  <c r="E30" i="25"/>
  <c r="G30" i="25" s="1"/>
  <c r="E29" i="25"/>
  <c r="G29" i="25" s="1"/>
  <c r="E28" i="25"/>
  <c r="G28" i="25" s="1"/>
  <c r="E27" i="25"/>
  <c r="G27" i="25" s="1"/>
  <c r="E26" i="25"/>
  <c r="G26" i="25" s="1"/>
  <c r="E25" i="25"/>
  <c r="G25" i="25" s="1"/>
  <c r="E24" i="25"/>
  <c r="G24" i="25" s="1"/>
  <c r="E23" i="25"/>
  <c r="G23" i="25" s="1"/>
  <c r="E22" i="25"/>
  <c r="G22" i="25" s="1"/>
  <c r="E21" i="25"/>
  <c r="G21" i="25" s="1"/>
  <c r="E20" i="25"/>
  <c r="G20" i="25" s="1"/>
  <c r="E19" i="25"/>
  <c r="E18" i="25"/>
  <c r="G18" i="25" s="1"/>
  <c r="E17" i="25"/>
  <c r="G17" i="25" s="1"/>
  <c r="E16" i="25"/>
  <c r="G16" i="25" s="1"/>
  <c r="E15" i="25"/>
  <c r="G15" i="25" s="1"/>
  <c r="E14" i="25"/>
  <c r="G14" i="25" s="1"/>
  <c r="E13" i="25"/>
  <c r="G13" i="25" s="1"/>
  <c r="E12" i="25"/>
  <c r="G12" i="25" s="1"/>
  <c r="E11" i="25"/>
  <c r="G11" i="25" s="1"/>
  <c r="E10" i="25"/>
  <c r="E9" i="25"/>
  <c r="G9" i="25" s="1"/>
  <c r="E8" i="25"/>
  <c r="G8" i="25" s="1"/>
  <c r="L38" i="26" l="1"/>
  <c r="M38" i="26" s="1"/>
  <c r="Q38" i="26" s="1"/>
  <c r="S38" i="26" s="1"/>
  <c r="F35" i="24" s="1"/>
  <c r="G38" i="15"/>
  <c r="D37" i="20"/>
  <c r="F38" i="13"/>
  <c r="L34" i="26"/>
  <c r="M34" i="26" s="1"/>
  <c r="Q34" i="26" s="1"/>
  <c r="S34" i="26" s="1"/>
  <c r="F31" i="24" s="1"/>
  <c r="D33" i="20"/>
  <c r="F34" i="13"/>
  <c r="G34" i="15"/>
  <c r="F32" i="13"/>
  <c r="L32" i="26"/>
  <c r="M32" i="26" s="1"/>
  <c r="Q32" i="26" s="1"/>
  <c r="S32" i="26" s="1"/>
  <c r="F29" i="24" s="1"/>
  <c r="G32" i="15"/>
  <c r="D31" i="20"/>
  <c r="D36" i="20"/>
  <c r="F37" i="13"/>
  <c r="G37" i="15"/>
  <c r="L37" i="26"/>
  <c r="M37" i="26" s="1"/>
  <c r="Q37" i="26" s="1"/>
  <c r="S37" i="26" s="1"/>
  <c r="F34" i="24" s="1"/>
  <c r="L36" i="26"/>
  <c r="M36" i="26" s="1"/>
  <c r="Q36" i="26" s="1"/>
  <c r="S36" i="26" s="1"/>
  <c r="F33" i="24" s="1"/>
  <c r="D35" i="20"/>
  <c r="F36" i="13"/>
  <c r="G36" i="15"/>
  <c r="L35" i="26"/>
  <c r="M35" i="26" s="1"/>
  <c r="Q35" i="26" s="1"/>
  <c r="S35" i="26" s="1"/>
  <c r="F32" i="24" s="1"/>
  <c r="D34" i="20"/>
  <c r="F35" i="13"/>
  <c r="G35" i="15"/>
  <c r="D32" i="20"/>
  <c r="G33" i="15"/>
  <c r="L33" i="26"/>
  <c r="M33" i="26" s="1"/>
  <c r="Q33" i="26" s="1"/>
  <c r="S33" i="26" s="1"/>
  <c r="F30" i="24" s="1"/>
  <c r="F33" i="13"/>
  <c r="L31" i="26"/>
  <c r="M31" i="26" s="1"/>
  <c r="Q31" i="26" s="1"/>
  <c r="S31" i="26" s="1"/>
  <c r="F28" i="24" s="1"/>
  <c r="F31" i="13"/>
  <c r="G31" i="15"/>
  <c r="D30" i="20"/>
  <c r="D29" i="20"/>
  <c r="F30" i="13"/>
  <c r="L30" i="26"/>
  <c r="M30" i="26" s="1"/>
  <c r="Q30" i="26" s="1"/>
  <c r="S30" i="26" s="1"/>
  <c r="F27" i="24" s="1"/>
  <c r="G30" i="15"/>
  <c r="F29" i="13"/>
  <c r="L29" i="26"/>
  <c r="M29" i="26" s="1"/>
  <c r="Q29" i="26" s="1"/>
  <c r="S29" i="26" s="1"/>
  <c r="F26" i="24" s="1"/>
  <c r="G29" i="15"/>
  <c r="D28" i="20"/>
  <c r="G28" i="15"/>
  <c r="F28" i="13"/>
  <c r="D27" i="20"/>
  <c r="L28" i="26"/>
  <c r="M28" i="26" s="1"/>
  <c r="Q28" i="26" s="1"/>
  <c r="S28" i="26" s="1"/>
  <c r="F25" i="24" s="1"/>
  <c r="L27" i="26"/>
  <c r="M27" i="26" s="1"/>
  <c r="F27" i="13"/>
  <c r="G27" i="15"/>
  <c r="D26" i="20"/>
  <c r="G26" i="15"/>
  <c r="L26" i="26"/>
  <c r="M26" i="26" s="1"/>
  <c r="Q26" i="26" s="1"/>
  <c r="S26" i="26" s="1"/>
  <c r="F23" i="24" s="1"/>
  <c r="D25" i="20"/>
  <c r="F26" i="13"/>
  <c r="D24" i="20"/>
  <c r="L25" i="26"/>
  <c r="M25" i="26" s="1"/>
  <c r="Q25" i="26" s="1"/>
  <c r="S25" i="26" s="1"/>
  <c r="F22" i="24" s="1"/>
  <c r="F25" i="13"/>
  <c r="G25" i="15"/>
  <c r="G24" i="15"/>
  <c r="L24" i="26"/>
  <c r="M24" i="26" s="1"/>
  <c r="Q24" i="26" s="1"/>
  <c r="S24" i="26" s="1"/>
  <c r="F21" i="24" s="1"/>
  <c r="D23" i="20"/>
  <c r="F24" i="13"/>
  <c r="F23" i="13"/>
  <c r="L23" i="26"/>
  <c r="M23" i="26" s="1"/>
  <c r="Q23" i="26" s="1"/>
  <c r="S23" i="26" s="1"/>
  <c r="F20" i="24" s="1"/>
  <c r="G23" i="15"/>
  <c r="D22" i="20"/>
  <c r="L22" i="26"/>
  <c r="M22" i="26" s="1"/>
  <c r="Q22" i="26" s="1"/>
  <c r="S22" i="26" s="1"/>
  <c r="F19" i="24" s="1"/>
  <c r="F22" i="13"/>
  <c r="G22" i="15"/>
  <c r="D21" i="20"/>
  <c r="D20" i="20"/>
  <c r="F21" i="13"/>
  <c r="L21" i="26"/>
  <c r="M21" i="26" s="1"/>
  <c r="Q21" i="26" s="1"/>
  <c r="S21" i="26" s="1"/>
  <c r="F18" i="24" s="1"/>
  <c r="G21" i="15"/>
  <c r="F20" i="13"/>
  <c r="G20" i="15"/>
  <c r="D19" i="20"/>
  <c r="L20" i="26"/>
  <c r="M20" i="26" s="1"/>
  <c r="Q20" i="26" s="1"/>
  <c r="S20" i="26" s="1"/>
  <c r="F17" i="24" s="1"/>
  <c r="L19" i="26"/>
  <c r="M19" i="26" s="1"/>
  <c r="Q19" i="26" s="1"/>
  <c r="S19" i="26" s="1"/>
  <c r="F16" i="24" s="1"/>
  <c r="D18" i="20"/>
  <c r="F19" i="13"/>
  <c r="G19" i="15"/>
  <c r="G18" i="15"/>
  <c r="L18" i="26"/>
  <c r="M18" i="26" s="1"/>
  <c r="Q18" i="26" s="1"/>
  <c r="S18" i="26" s="1"/>
  <c r="F15" i="24" s="1"/>
  <c r="D17" i="20"/>
  <c r="F18" i="13"/>
  <c r="D16" i="20"/>
  <c r="G17" i="15"/>
  <c r="L17" i="26"/>
  <c r="M17" i="26" s="1"/>
  <c r="Q17" i="26" s="1"/>
  <c r="S17" i="26" s="1"/>
  <c r="F14" i="24" s="1"/>
  <c r="F17" i="13"/>
  <c r="F16" i="13"/>
  <c r="D15" i="20"/>
  <c r="L16" i="26"/>
  <c r="M16" i="26" s="1"/>
  <c r="Q16" i="26" s="1"/>
  <c r="S16" i="26" s="1"/>
  <c r="F13" i="24" s="1"/>
  <c r="G16" i="15"/>
  <c r="F15" i="13"/>
  <c r="G15" i="15"/>
  <c r="L15" i="26"/>
  <c r="M15" i="26" s="1"/>
  <c r="Q15" i="26" s="1"/>
  <c r="S15" i="26" s="1"/>
  <c r="F12" i="24" s="1"/>
  <c r="D14" i="20"/>
  <c r="L13" i="26"/>
  <c r="M13" i="26" s="1"/>
  <c r="Q13" i="26" s="1"/>
  <c r="S13" i="26" s="1"/>
  <c r="F10" i="24" s="1"/>
  <c r="D12" i="20"/>
  <c r="F13" i="13"/>
  <c r="G13" i="15"/>
  <c r="G12" i="15"/>
  <c r="D11" i="20"/>
  <c r="F12" i="13"/>
  <c r="L12" i="26"/>
  <c r="M12" i="26" s="1"/>
  <c r="Q12" i="26" s="1"/>
  <c r="S12" i="26" s="1"/>
  <c r="F9" i="24" s="1"/>
  <c r="F10" i="13"/>
  <c r="L10" i="26"/>
  <c r="M10" i="26" s="1"/>
  <c r="Q10" i="26" s="1"/>
  <c r="S10" i="26" s="1"/>
  <c r="F7" i="24" s="1"/>
  <c r="D9" i="20"/>
  <c r="G10" i="15"/>
  <c r="F9" i="13"/>
  <c r="G9" i="15"/>
  <c r="D8" i="20"/>
  <c r="L9" i="26"/>
  <c r="M9" i="26" s="1"/>
  <c r="Q9" i="26" s="1"/>
  <c r="S9" i="26" s="1"/>
  <c r="F6" i="24" s="1"/>
  <c r="L14" i="26"/>
  <c r="M14" i="26" s="1"/>
  <c r="Q14" i="26" s="1"/>
  <c r="F14" i="13"/>
  <c r="D13" i="20"/>
  <c r="G14" i="15"/>
  <c r="E39" i="25"/>
  <c r="G39" i="25" s="1"/>
  <c r="G10" i="25"/>
  <c r="Q27" i="26" l="1"/>
  <c r="S27" i="26" s="1"/>
  <c r="F24" i="24" s="1"/>
  <c r="L11" i="26"/>
  <c r="M11" i="26" s="1"/>
  <c r="Q11" i="26" s="1"/>
  <c r="S11" i="26" s="1"/>
  <c r="F8" i="24" s="1"/>
  <c r="D10" i="20"/>
  <c r="G11" i="15"/>
  <c r="F11" i="13"/>
  <c r="G40" i="15"/>
  <c r="D39" i="20"/>
  <c r="L40" i="26"/>
  <c r="M40" i="26" l="1"/>
  <c r="S14" i="26"/>
  <c r="Q40" i="26"/>
  <c r="C11" i="15"/>
  <c r="C10" i="15"/>
  <c r="F11" i="24" l="1"/>
  <c r="S40" i="26"/>
  <c r="A42" i="13"/>
  <c r="F40" i="13"/>
  <c r="D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C40" i="13" l="1"/>
  <c r="E40" i="13"/>
  <c r="D7" i="15" l="1"/>
  <c r="X37" i="24" l="1"/>
  <c r="D29" i="15" l="1"/>
  <c r="F29" i="15" s="1"/>
  <c r="W37" i="24" l="1"/>
  <c r="C28" i="15" l="1"/>
  <c r="C21" i="15" l="1"/>
  <c r="C16" i="15"/>
  <c r="F8" i="20" l="1"/>
  <c r="D37" i="24" l="1"/>
  <c r="L37" i="24" l="1"/>
  <c r="M28" i="24" l="1"/>
  <c r="M20" i="24"/>
  <c r="M12" i="24"/>
  <c r="M25" i="24"/>
  <c r="M32" i="24"/>
  <c r="M16" i="24"/>
  <c r="M23" i="24"/>
  <c r="M30" i="24"/>
  <c r="M14" i="24"/>
  <c r="M29" i="24"/>
  <c r="M35" i="24"/>
  <c r="M27" i="24"/>
  <c r="M19" i="24"/>
  <c r="M11" i="24"/>
  <c r="M33" i="24"/>
  <c r="M9" i="24"/>
  <c r="M8" i="24"/>
  <c r="M15" i="24"/>
  <c r="M6" i="24"/>
  <c r="M21" i="24"/>
  <c r="M34" i="24"/>
  <c r="M26" i="24"/>
  <c r="M18" i="24"/>
  <c r="M10" i="24"/>
  <c r="M17" i="24"/>
  <c r="M24" i="24"/>
  <c r="M31" i="24"/>
  <c r="M7" i="24"/>
  <c r="M22" i="24"/>
  <c r="M13" i="24"/>
  <c r="M37" i="24" l="1"/>
  <c r="D9" i="15"/>
  <c r="F9" i="15" s="1"/>
  <c r="H10" i="13" l="1"/>
  <c r="I7" i="24" s="1"/>
  <c r="D37" i="11"/>
  <c r="C39" i="20" l="1"/>
  <c r="F33" i="20" l="1"/>
  <c r="I26" i="17"/>
  <c r="J26" i="17" s="1"/>
  <c r="L26" i="17" s="1"/>
  <c r="E24" i="24" s="1"/>
  <c r="I8" i="17"/>
  <c r="J8" i="17" s="1"/>
  <c r="L8" i="17" s="1"/>
  <c r="E6" i="24" s="1"/>
  <c r="I9" i="17"/>
  <c r="J9" i="17" s="1"/>
  <c r="L9" i="17" s="1"/>
  <c r="E7" i="24" s="1"/>
  <c r="I10" i="17"/>
  <c r="I11" i="17"/>
  <c r="J11" i="17" s="1"/>
  <c r="L11" i="17" s="1"/>
  <c r="E9" i="24" s="1"/>
  <c r="I12" i="17"/>
  <c r="J12" i="17" s="1"/>
  <c r="L12" i="17" s="1"/>
  <c r="E10" i="24" s="1"/>
  <c r="I13" i="17"/>
  <c r="J13" i="17" s="1"/>
  <c r="L13" i="17" s="1"/>
  <c r="E11" i="24" s="1"/>
  <c r="I14" i="17"/>
  <c r="J14" i="17" s="1"/>
  <c r="L14" i="17" s="1"/>
  <c r="E12" i="24" s="1"/>
  <c r="I15" i="17"/>
  <c r="J15" i="17" s="1"/>
  <c r="L15" i="17" s="1"/>
  <c r="E13" i="24" s="1"/>
  <c r="I16" i="17"/>
  <c r="J16" i="17" s="1"/>
  <c r="L16" i="17" s="1"/>
  <c r="E14" i="24" s="1"/>
  <c r="I17" i="17"/>
  <c r="J17" i="17" s="1"/>
  <c r="L17" i="17" s="1"/>
  <c r="E15" i="24" s="1"/>
  <c r="I18" i="17"/>
  <c r="J18" i="17" s="1"/>
  <c r="L18" i="17" s="1"/>
  <c r="E16" i="24" s="1"/>
  <c r="I19" i="17"/>
  <c r="J19" i="17" s="1"/>
  <c r="L19" i="17" s="1"/>
  <c r="E17" i="24" s="1"/>
  <c r="I20" i="17"/>
  <c r="J20" i="17" s="1"/>
  <c r="L20" i="17" s="1"/>
  <c r="E18" i="24" s="1"/>
  <c r="I23" i="17"/>
  <c r="J23" i="17" s="1"/>
  <c r="L23" i="17" s="1"/>
  <c r="E21" i="24" s="1"/>
  <c r="I24" i="17"/>
  <c r="J24" i="17" s="1"/>
  <c r="L24" i="17" s="1"/>
  <c r="E22" i="24" s="1"/>
  <c r="I25" i="17"/>
  <c r="J25" i="17" s="1"/>
  <c r="L25" i="17" s="1"/>
  <c r="E23" i="24" s="1"/>
  <c r="I27" i="17"/>
  <c r="J27" i="17" s="1"/>
  <c r="L27" i="17" s="1"/>
  <c r="E25" i="24" s="1"/>
  <c r="I28" i="17"/>
  <c r="J28" i="17" s="1"/>
  <c r="L28" i="17" s="1"/>
  <c r="E26" i="24" s="1"/>
  <c r="I29" i="17"/>
  <c r="J29" i="17" s="1"/>
  <c r="L29" i="17" s="1"/>
  <c r="E27" i="24" s="1"/>
  <c r="I30" i="17"/>
  <c r="J30" i="17" s="1"/>
  <c r="L30" i="17" s="1"/>
  <c r="E28" i="24" s="1"/>
  <c r="I31" i="17"/>
  <c r="J31" i="17" s="1"/>
  <c r="L31" i="17" s="1"/>
  <c r="E29" i="24" s="1"/>
  <c r="I32" i="17"/>
  <c r="J32" i="17" s="1"/>
  <c r="L32" i="17" s="1"/>
  <c r="E30" i="24" s="1"/>
  <c r="I33" i="17"/>
  <c r="J33" i="17" s="1"/>
  <c r="L33" i="17" s="1"/>
  <c r="E31" i="24" s="1"/>
  <c r="I34" i="17"/>
  <c r="J34" i="17" s="1"/>
  <c r="L34" i="17" s="1"/>
  <c r="E32" i="24" s="1"/>
  <c r="I36" i="17"/>
  <c r="J36" i="17" s="1"/>
  <c r="L36" i="17" s="1"/>
  <c r="E34" i="24" s="1"/>
  <c r="I37" i="17"/>
  <c r="J37" i="17" s="1"/>
  <c r="I35" i="17"/>
  <c r="J35" i="17" s="1"/>
  <c r="L35" i="17" s="1"/>
  <c r="E33" i="24" s="1"/>
  <c r="I22" i="17"/>
  <c r="J22" i="17" s="1"/>
  <c r="L22" i="17" s="1"/>
  <c r="E20" i="24" s="1"/>
  <c r="I21" i="17"/>
  <c r="J21" i="17" s="1"/>
  <c r="L21" i="17" s="1"/>
  <c r="E19" i="24" s="1"/>
  <c r="H9" i="13"/>
  <c r="I6" i="24" s="1"/>
  <c r="D10" i="15"/>
  <c r="F10" i="15" s="1"/>
  <c r="D13" i="15"/>
  <c r="F13" i="15" s="1"/>
  <c r="D14" i="15"/>
  <c r="F14" i="15" s="1"/>
  <c r="D19" i="15"/>
  <c r="F19" i="15" s="1"/>
  <c r="D21" i="15"/>
  <c r="F21" i="15" s="1"/>
  <c r="D22" i="15"/>
  <c r="F22" i="15" s="1"/>
  <c r="D23" i="15"/>
  <c r="F23" i="15" s="1"/>
  <c r="D24" i="15"/>
  <c r="F24" i="15" s="1"/>
  <c r="D27" i="15"/>
  <c r="D28" i="15"/>
  <c r="F28" i="15" s="1"/>
  <c r="D31" i="15"/>
  <c r="F31" i="15" s="1"/>
  <c r="D36" i="15"/>
  <c r="F36" i="15" s="1"/>
  <c r="D38" i="15"/>
  <c r="F38" i="15" s="1"/>
  <c r="D11" i="15"/>
  <c r="F11" i="15" s="1"/>
  <c r="D12" i="15"/>
  <c r="F12" i="15" s="1"/>
  <c r="D15" i="15"/>
  <c r="F15" i="15" s="1"/>
  <c r="F16" i="15"/>
  <c r="D17" i="15"/>
  <c r="F17" i="15" s="1"/>
  <c r="D18" i="15"/>
  <c r="F18" i="15" s="1"/>
  <c r="D25" i="15"/>
  <c r="F25" i="15" s="1"/>
  <c r="D26" i="15"/>
  <c r="F26" i="15" s="1"/>
  <c r="D30" i="15"/>
  <c r="F30" i="15" s="1"/>
  <c r="D32" i="15"/>
  <c r="F32" i="15" s="1"/>
  <c r="D33" i="15"/>
  <c r="F33" i="15" s="1"/>
  <c r="D35" i="15"/>
  <c r="F35" i="15" s="1"/>
  <c r="D37" i="15"/>
  <c r="F37" i="15" s="1"/>
  <c r="D20" i="15"/>
  <c r="F20" i="15" s="1"/>
  <c r="F37" i="20"/>
  <c r="F36" i="20"/>
  <c r="F35" i="20"/>
  <c r="F34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K39" i="17"/>
  <c r="D34" i="15"/>
  <c r="F34" i="15" s="1"/>
  <c r="A45" i="15"/>
  <c r="A44" i="15"/>
  <c r="A42" i="20"/>
  <c r="A41" i="20"/>
  <c r="A42" i="17"/>
  <c r="A41" i="17"/>
  <c r="E40" i="15"/>
  <c r="C40" i="15"/>
  <c r="H39" i="17"/>
  <c r="G39" i="17"/>
  <c r="F39" i="17"/>
  <c r="E39" i="17"/>
  <c r="D39" i="17"/>
  <c r="C39" i="17"/>
  <c r="L37" i="17" l="1"/>
  <c r="E35" i="24" s="1"/>
  <c r="H11" i="13"/>
  <c r="I8" i="24" s="1"/>
  <c r="H36" i="13"/>
  <c r="I33" i="24" s="1"/>
  <c r="H33" i="13"/>
  <c r="I30" i="24" s="1"/>
  <c r="H38" i="13"/>
  <c r="I35" i="24" s="1"/>
  <c r="H32" i="13"/>
  <c r="I29" i="24" s="1"/>
  <c r="H20" i="13"/>
  <c r="I17" i="24" s="1"/>
  <c r="H14" i="13"/>
  <c r="I11" i="24" s="1"/>
  <c r="D40" i="15"/>
  <c r="I39" i="17"/>
  <c r="H28" i="13"/>
  <c r="I25" i="24" s="1"/>
  <c r="H30" i="13"/>
  <c r="I27" i="24" s="1"/>
  <c r="H22" i="13"/>
  <c r="I19" i="24" s="1"/>
  <c r="H25" i="13"/>
  <c r="I22" i="24" s="1"/>
  <c r="J10" i="17"/>
  <c r="L10" i="17" s="1"/>
  <c r="E8" i="24" s="1"/>
  <c r="F39" i="20"/>
  <c r="H24" i="13"/>
  <c r="I21" i="24" s="1"/>
  <c r="H23" i="13"/>
  <c r="I20" i="24" s="1"/>
  <c r="H9" i="15"/>
  <c r="G6" i="24" s="1"/>
  <c r="E8" i="20"/>
  <c r="G8" i="20" s="1"/>
  <c r="H15" i="13"/>
  <c r="I12" i="24" s="1"/>
  <c r="H34" i="13"/>
  <c r="I31" i="24" s="1"/>
  <c r="H37" i="13"/>
  <c r="I34" i="24" s="1"/>
  <c r="H35" i="13"/>
  <c r="I32" i="24" s="1"/>
  <c r="H31" i="13"/>
  <c r="I28" i="24" s="1"/>
  <c r="H29" i="13"/>
  <c r="I26" i="24" s="1"/>
  <c r="H27" i="13"/>
  <c r="I24" i="24" s="1"/>
  <c r="H26" i="13"/>
  <c r="I23" i="24" s="1"/>
  <c r="H21" i="13"/>
  <c r="I18" i="24" s="1"/>
  <c r="H19" i="13"/>
  <c r="I16" i="24" s="1"/>
  <c r="H18" i="13"/>
  <c r="I15" i="24" s="1"/>
  <c r="H17" i="13"/>
  <c r="I14" i="24" s="1"/>
  <c r="H16" i="13"/>
  <c r="I13" i="24" s="1"/>
  <c r="H13" i="13"/>
  <c r="I10" i="24" s="1"/>
  <c r="H12" i="13"/>
  <c r="I9" i="24" s="1"/>
  <c r="H40" i="13" l="1"/>
  <c r="E23" i="20"/>
  <c r="G23" i="20" s="1"/>
  <c r="E32" i="20"/>
  <c r="G32" i="20" s="1"/>
  <c r="E37" i="20"/>
  <c r="G37" i="20" s="1"/>
  <c r="E31" i="20"/>
  <c r="G31" i="20" s="1"/>
  <c r="E22" i="20"/>
  <c r="G22" i="20" s="1"/>
  <c r="E19" i="20"/>
  <c r="G19" i="20" s="1"/>
  <c r="E24" i="20"/>
  <c r="G24" i="20" s="1"/>
  <c r="E13" i="20"/>
  <c r="G13" i="20" s="1"/>
  <c r="E35" i="20"/>
  <c r="G35" i="20" s="1"/>
  <c r="E27" i="20"/>
  <c r="G27" i="20" s="1"/>
  <c r="E9" i="20"/>
  <c r="H34" i="15"/>
  <c r="G31" i="24" s="1"/>
  <c r="E25" i="20"/>
  <c r="G25" i="20" s="1"/>
  <c r="H19" i="15"/>
  <c r="G16" i="24" s="1"/>
  <c r="E17" i="20"/>
  <c r="G17" i="20" s="1"/>
  <c r="E16" i="20"/>
  <c r="G16" i="20" s="1"/>
  <c r="E15" i="20"/>
  <c r="G15" i="20" s="1"/>
  <c r="E34" i="20"/>
  <c r="G34" i="20" s="1"/>
  <c r="E20" i="20"/>
  <c r="G20" i="20" s="1"/>
  <c r="E21" i="20"/>
  <c r="G21" i="20" s="1"/>
  <c r="H17" i="15"/>
  <c r="G14" i="24" s="1"/>
  <c r="E14" i="20"/>
  <c r="G14" i="20" s="1"/>
  <c r="H37" i="15"/>
  <c r="G34" i="24" s="1"/>
  <c r="H26" i="15"/>
  <c r="G23" i="24" s="1"/>
  <c r="E33" i="20"/>
  <c r="G33" i="20" s="1"/>
  <c r="E18" i="20"/>
  <c r="G18" i="20" s="1"/>
  <c r="J39" i="17"/>
  <c r="E36" i="20"/>
  <c r="G36" i="20" s="1"/>
  <c r="E28" i="20"/>
  <c r="G28" i="20" s="1"/>
  <c r="E26" i="20"/>
  <c r="G26" i="20" s="1"/>
  <c r="H30" i="15" l="1"/>
  <c r="G27" i="24" s="1"/>
  <c r="H24" i="15"/>
  <c r="G21" i="24" s="1"/>
  <c r="H38" i="15"/>
  <c r="G35" i="24" s="1"/>
  <c r="H11" i="15"/>
  <c r="G8" i="24" s="1"/>
  <c r="H20" i="15"/>
  <c r="G17" i="24" s="1"/>
  <c r="E37" i="24"/>
  <c r="H22" i="15"/>
  <c r="G19" i="24" s="1"/>
  <c r="H35" i="15"/>
  <c r="G32" i="24" s="1"/>
  <c r="H32" i="15"/>
  <c r="G29" i="24" s="1"/>
  <c r="H21" i="15"/>
  <c r="G18" i="24" s="1"/>
  <c r="H14" i="15"/>
  <c r="G11" i="24" s="1"/>
  <c r="H25" i="15"/>
  <c r="G22" i="24" s="1"/>
  <c r="H28" i="15"/>
  <c r="G25" i="24" s="1"/>
  <c r="H36" i="15"/>
  <c r="G33" i="24" s="1"/>
  <c r="H10" i="15"/>
  <c r="G7" i="24" s="1"/>
  <c r="L39" i="17"/>
  <c r="H31" i="15"/>
  <c r="G28" i="24" s="1"/>
  <c r="H23" i="15"/>
  <c r="G20" i="24" s="1"/>
  <c r="H29" i="15"/>
  <c r="G26" i="24" s="1"/>
  <c r="H16" i="15"/>
  <c r="H33" i="15"/>
  <c r="G30" i="24" s="1"/>
  <c r="H27" i="15"/>
  <c r="G24" i="24" s="1"/>
  <c r="H13" i="15"/>
  <c r="G10" i="24" s="1"/>
  <c r="E29" i="20"/>
  <c r="G29" i="20" s="1"/>
  <c r="E30" i="20"/>
  <c r="G30" i="20" s="1"/>
  <c r="H12" i="15"/>
  <c r="G9" i="24" s="1"/>
  <c r="E11" i="20"/>
  <c r="G11" i="20" s="1"/>
  <c r="E12" i="20"/>
  <c r="G12" i="20" s="1"/>
  <c r="E10" i="20"/>
  <c r="G10" i="20" s="1"/>
  <c r="H15" i="15"/>
  <c r="G12" i="24" s="1"/>
  <c r="H18" i="15"/>
  <c r="G15" i="24" s="1"/>
  <c r="F40" i="15"/>
  <c r="G13" i="24" l="1"/>
  <c r="G9" i="20"/>
  <c r="E39" i="20"/>
  <c r="G39" i="20" s="1"/>
  <c r="H40" i="15"/>
  <c r="G37" i="24" l="1"/>
  <c r="F37" i="24"/>
  <c r="H37" i="24" l="1"/>
  <c r="I37" i="24" l="1"/>
  <c r="J29" i="24" l="1"/>
  <c r="J25" i="24"/>
  <c r="J27" i="24"/>
  <c r="J14" i="24"/>
  <c r="J34" i="24"/>
  <c r="J24" i="24"/>
  <c r="J31" i="24"/>
  <c r="J10" i="24"/>
  <c r="J8" i="24"/>
  <c r="J23" i="24"/>
  <c r="J33" i="24"/>
  <c r="J12" i="24"/>
  <c r="J18" i="24"/>
  <c r="J17" i="24"/>
  <c r="J7" i="24"/>
  <c r="J30" i="24"/>
  <c r="J11" i="24"/>
  <c r="J28" i="24"/>
  <c r="J13" i="24"/>
  <c r="J19" i="24"/>
  <c r="J21" i="24"/>
  <c r="J32" i="24"/>
  <c r="J22" i="24"/>
  <c r="J15" i="24"/>
  <c r="J16" i="24"/>
  <c r="J35" i="24"/>
  <c r="J9" i="24"/>
  <c r="J26" i="24"/>
  <c r="J20" i="24" l="1"/>
  <c r="J6" i="24" l="1"/>
  <c r="J37" i="24" l="1"/>
  <c r="K7" i="24" l="1"/>
  <c r="K26" i="24"/>
  <c r="K21" i="24"/>
  <c r="K14" i="24"/>
  <c r="K24" i="24"/>
  <c r="K27" i="24"/>
  <c r="K16" i="24"/>
  <c r="K22" i="24"/>
  <c r="K11" i="24"/>
  <c r="K10" i="24"/>
  <c r="K23" i="24"/>
  <c r="K34" i="24"/>
  <c r="K31" i="24"/>
  <c r="K32" i="24"/>
  <c r="K20" i="24"/>
  <c r="K13" i="24"/>
  <c r="K17" i="24"/>
  <c r="K12" i="24"/>
  <c r="K35" i="24"/>
  <c r="K33" i="24"/>
  <c r="K28" i="24"/>
  <c r="K15" i="24"/>
  <c r="K9" i="24"/>
  <c r="K30" i="24"/>
  <c r="K19" i="24"/>
  <c r="K8" i="24"/>
  <c r="K18" i="24"/>
  <c r="K29" i="24"/>
  <c r="K25" i="24"/>
  <c r="K6" i="24"/>
  <c r="K37" i="24" l="1"/>
  <c r="N33" i="24"/>
  <c r="N24" i="24"/>
  <c r="N31" i="24"/>
  <c r="N26" i="24"/>
  <c r="N17" i="24"/>
  <c r="O17" i="24"/>
  <c r="O7" i="24" l="1"/>
  <c r="O14" i="24"/>
  <c r="P17" i="24"/>
  <c r="R17" i="24" s="1"/>
  <c r="S17" i="24" s="1"/>
  <c r="N21" i="24"/>
  <c r="O26" i="24"/>
  <c r="P26" i="24" s="1"/>
  <c r="R26" i="24" s="1"/>
  <c r="S26" i="24" s="1"/>
  <c r="O20" i="24"/>
  <c r="N18" i="24"/>
  <c r="N34" i="24"/>
  <c r="N7" i="24"/>
  <c r="O28" i="24"/>
  <c r="O31" i="24"/>
  <c r="P31" i="24" s="1"/>
  <c r="N15" i="24"/>
  <c r="N25" i="24"/>
  <c r="O27" i="24"/>
  <c r="O16" i="24"/>
  <c r="N19" i="24"/>
  <c r="N35" i="24"/>
  <c r="N6" i="24"/>
  <c r="O6" i="24"/>
  <c r="O22" i="24"/>
  <c r="O11" i="24"/>
  <c r="O21" i="24"/>
  <c r="O19" i="24"/>
  <c r="N10" i="24"/>
  <c r="N11" i="24"/>
  <c r="N12" i="24"/>
  <c r="N20" i="24"/>
  <c r="O35" i="24"/>
  <c r="O33" i="24"/>
  <c r="P33" i="24" s="1"/>
  <c r="N32" i="24"/>
  <c r="N30" i="24"/>
  <c r="N14" i="24"/>
  <c r="P14" i="24" s="1"/>
  <c r="O23" i="24"/>
  <c r="O8" i="24"/>
  <c r="N16" i="24"/>
  <c r="N13" i="24"/>
  <c r="N28" i="24"/>
  <c r="O12" i="24"/>
  <c r="O30" i="24"/>
  <c r="N9" i="24"/>
  <c r="N8" i="24"/>
  <c r="N27" i="24"/>
  <c r="N23" i="24"/>
  <c r="O25" i="24"/>
  <c r="O24" i="24"/>
  <c r="P24" i="24" s="1"/>
  <c r="O9" i="24"/>
  <c r="O34" i="24"/>
  <c r="O29" i="24"/>
  <c r="O18" i="24"/>
  <c r="O32" i="24"/>
  <c r="O13" i="24"/>
  <c r="N29" i="24"/>
  <c r="N22" i="24"/>
  <c r="O10" i="24"/>
  <c r="O15" i="24"/>
  <c r="P7" i="24" l="1"/>
  <c r="R7" i="24" s="1"/>
  <c r="P22" i="24"/>
  <c r="R22" i="24" s="1"/>
  <c r="S22" i="24" s="1"/>
  <c r="P16" i="24"/>
  <c r="R16" i="24" s="1"/>
  <c r="S16" i="24" s="1"/>
  <c r="P11" i="24"/>
  <c r="R11" i="24" s="1"/>
  <c r="S11" i="24" s="1"/>
  <c r="P35" i="24"/>
  <c r="R35" i="24" s="1"/>
  <c r="S35" i="24" s="1"/>
  <c r="P19" i="24"/>
  <c r="R19" i="24" s="1"/>
  <c r="S19" i="24" s="1"/>
  <c r="P32" i="24"/>
  <c r="R32" i="24" s="1"/>
  <c r="S32" i="24" s="1"/>
  <c r="P23" i="24"/>
  <c r="R23" i="24" s="1"/>
  <c r="S23" i="24" s="1"/>
  <c r="P15" i="24"/>
  <c r="R15" i="24" s="1"/>
  <c r="S15" i="24" s="1"/>
  <c r="P12" i="24"/>
  <c r="R12" i="24" s="1"/>
  <c r="S12" i="24" s="1"/>
  <c r="P6" i="24"/>
  <c r="R6" i="24" s="1"/>
  <c r="P28" i="24"/>
  <c r="R28" i="24" s="1"/>
  <c r="S28" i="24" s="1"/>
  <c r="P18" i="24"/>
  <c r="R18" i="24" s="1"/>
  <c r="S18" i="24" s="1"/>
  <c r="P27" i="24"/>
  <c r="R27" i="24" s="1"/>
  <c r="S27" i="24" s="1"/>
  <c r="P8" i="24"/>
  <c r="R8" i="24" s="1"/>
  <c r="P21" i="24"/>
  <c r="R21" i="24" s="1"/>
  <c r="S21" i="24" s="1"/>
  <c r="R14" i="24"/>
  <c r="S14" i="24" s="1"/>
  <c r="P30" i="24"/>
  <c r="R33" i="24"/>
  <c r="S33" i="24" s="1"/>
  <c r="P13" i="24"/>
  <c r="R13" i="24" s="1"/>
  <c r="P34" i="24"/>
  <c r="R34" i="24" s="1"/>
  <c r="S34" i="24" s="1"/>
  <c r="P20" i="24"/>
  <c r="P25" i="24"/>
  <c r="R25" i="24" s="1"/>
  <c r="S25" i="24" s="1"/>
  <c r="R31" i="24"/>
  <c r="S31" i="24" s="1"/>
  <c r="S7" i="24"/>
  <c r="P10" i="24"/>
  <c r="O37" i="24"/>
  <c r="R24" i="24"/>
  <c r="S24" i="24" s="1"/>
  <c r="P29" i="24"/>
  <c r="P9" i="24"/>
  <c r="N37" i="24"/>
  <c r="S13" i="24" l="1"/>
  <c r="R30" i="24"/>
  <c r="S30" i="24" s="1"/>
  <c r="R10" i="24"/>
  <c r="S10" i="24" s="1"/>
  <c r="R20" i="24"/>
  <c r="S20" i="24" s="1"/>
  <c r="S8" i="24"/>
  <c r="P37" i="24"/>
  <c r="R9" i="24"/>
  <c r="R29" i="24"/>
  <c r="S29" i="24" s="1"/>
  <c r="S6" i="24"/>
  <c r="B15" i="32" l="1"/>
  <c r="C15" i="32" s="1"/>
  <c r="C8" i="32"/>
  <c r="Q12" i="24"/>
  <c r="Q16" i="24"/>
  <c r="Q15" i="24"/>
  <c r="Q35" i="24"/>
  <c r="Q31" i="24"/>
  <c r="Q10" i="24"/>
  <c r="Q21" i="24"/>
  <c r="Q26" i="24"/>
  <c r="Q13" i="24"/>
  <c r="Q28" i="24"/>
  <c r="Q18" i="24"/>
  <c r="B5" i="32"/>
  <c r="C5" i="32"/>
  <c r="B8" i="32"/>
  <c r="Q9" i="24"/>
  <c r="Q17" i="24"/>
  <c r="Q23" i="24"/>
  <c r="Q34" i="24"/>
  <c r="Q24" i="24"/>
  <c r="B11" i="32"/>
  <c r="C11" i="32"/>
  <c r="Q29" i="24"/>
  <c r="Q33" i="24"/>
  <c r="Q22" i="24"/>
  <c r="Q20" i="24"/>
  <c r="Q7" i="24"/>
  <c r="Q8" i="24"/>
  <c r="Q25" i="24"/>
  <c r="Q19" i="24"/>
  <c r="Q30" i="24"/>
  <c r="Q6" i="24"/>
  <c r="Q27" i="24"/>
  <c r="Q11" i="24"/>
  <c r="Q14" i="24"/>
  <c r="Q32" i="24"/>
  <c r="R37" i="24"/>
  <c r="S37" i="24" s="1"/>
  <c r="S9" i="24"/>
  <c r="B9" i="32" l="1"/>
  <c r="C9" i="32"/>
  <c r="B12" i="32"/>
  <c r="C12" i="32"/>
  <c r="B6" i="32"/>
  <c r="C6" i="32"/>
  <c r="Q37" i="24"/>
</calcChain>
</file>

<file path=xl/sharedStrings.xml><?xml version="1.0" encoding="utf-8"?>
<sst xmlns="http://schemas.openxmlformats.org/spreadsheetml/2006/main" count="1020" uniqueCount="324">
  <si>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</si>
  <si>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</si>
  <si>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</si>
  <si>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</si>
  <si>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</si>
  <si>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</si>
  <si>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</si>
  <si>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</si>
  <si>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</si>
  <si>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</si>
  <si>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</si>
  <si>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</si>
  <si>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</si>
  <si>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</si>
  <si>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</si>
  <si>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</si>
  <si>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</si>
  <si>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</si>
  <si>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</si>
  <si>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</si>
  <si>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</si>
  <si>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</si>
  <si>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</si>
  <si>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</si>
  <si>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</si>
  <si>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</si>
  <si>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</si>
  <si>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</si>
  <si>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</si>
  <si>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</si>
  <si>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</si>
  <si>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</si>
  <si>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</si>
  <si>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</si>
  <si>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</si>
  <si>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</si>
  <si>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</si>
  <si>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</si>
  <si>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</si>
  <si>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</si>
  <si>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</si>
  <si>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</si>
  <si>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</si>
  <si>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</si>
  <si>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</si>
  <si>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</si>
  <si>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</si>
  <si>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</si>
  <si>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</si>
  <si>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</si>
  <si>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</si>
  <si>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</si>
  <si>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</si>
  <si>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</si>
  <si>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</si>
  <si>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</si>
  <si>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</si>
  <si>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</si>
  <si>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</si>
  <si>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</si>
  <si>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</si>
  <si>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</si>
  <si>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</si>
  <si>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</si>
  <si>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</si>
  <si>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</si>
  <si>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Facilities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</si>
  <si>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</si>
  <si>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</si>
  <si>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</si>
  <si>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</si>
  <si>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</si>
  <si>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</si>
  <si>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</si>
  <si>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</si>
  <si>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</si>
  <si>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</si>
  <si>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</si>
  <si>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</si>
  <si>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b+c+d+e+f</t>
  </si>
  <si>
    <t>a+g</t>
  </si>
  <si>
    <t>a</t>
  </si>
  <si>
    <t>10% of LD expended</t>
  </si>
  <si>
    <t>g</t>
  </si>
  <si>
    <t>h</t>
  </si>
  <si>
    <t>Institution</t>
  </si>
  <si>
    <t>Lower Division (LD) Change</t>
  </si>
  <si>
    <t>Regional Dean of Mgmt Education</t>
  </si>
  <si>
    <t>Departmental Research</t>
  </si>
  <si>
    <t>Upper Division (UD) Change</t>
  </si>
  <si>
    <t>Graduate (GR) Change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</si>
  <si>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</si>
  <si>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</si>
  <si>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</si>
  <si>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</si>
  <si>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</si>
  <si>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Allocation for Separately Budgeted Research and Public Service</t>
  </si>
  <si>
    <t>Total</t>
  </si>
  <si>
    <t>REVENUE OFFSET</t>
  </si>
  <si>
    <t>a-b</t>
  </si>
  <si>
    <t>Less Specific Revenue</t>
  </si>
  <si>
    <t>Net GEN Revenue</t>
  </si>
  <si>
    <t>a * c</t>
  </si>
  <si>
    <t>$500/fye</t>
  </si>
  <si>
    <t>k</t>
  </si>
  <si>
    <t>Dollars per FYE</t>
  </si>
  <si>
    <t xml:space="preserve">Dollars Generated Per FYE   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</si>
  <si>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</si>
  <si>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</si>
  <si>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</si>
  <si>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</si>
  <si>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</si>
  <si>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Gross Operations</t>
  </si>
  <si>
    <t>SQ FT</t>
  </si>
  <si>
    <t>0442</t>
  </si>
  <si>
    <t>0403</t>
  </si>
  <si>
    <t>i</t>
  </si>
  <si>
    <t>Minnesota State College</t>
  </si>
  <si>
    <t>Bemidji SU &amp; Northwest TC-Bemidji</t>
  </si>
  <si>
    <t>50% Allocation Framework % Share</t>
  </si>
  <si>
    <t>P</t>
  </si>
  <si>
    <t>a*(1-b)</t>
  </si>
  <si>
    <t>South Central College</t>
  </si>
  <si>
    <t>0411</t>
  </si>
  <si>
    <t>Revenue Buydown</t>
  </si>
  <si>
    <t>J</t>
  </si>
  <si>
    <t>90/110</t>
  </si>
  <si>
    <t>St. Cloud College</t>
  </si>
  <si>
    <t>j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</si>
  <si>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</si>
  <si>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</si>
  <si>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</si>
  <si>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</si>
  <si>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</si>
  <si>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</si>
  <si>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</si>
  <si>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</si>
  <si>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</si>
  <si>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</si>
  <si>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</si>
  <si>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</si>
  <si>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</si>
  <si>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FY2017 Allocation for Instruction &amp; Academic Support</t>
  </si>
  <si>
    <t>BASED ON FY2015 MnSCU DATA and FY2014 NATIONAL DATA -- February 2016</t>
  </si>
  <si>
    <t xml:space="preserve">FY2017 Base Allocation </t>
  </si>
  <si>
    <t>Minnesota West CTC</t>
  </si>
  <si>
    <t>Q</t>
  </si>
  <si>
    <t>Hennepin Technical College</t>
  </si>
  <si>
    <t>Metropolitan State University</t>
  </si>
  <si>
    <t>Minnesota State CTC</t>
  </si>
  <si>
    <t>FY2018 Allocation for Instruction &amp; Academic Support</t>
  </si>
  <si>
    <t>2 Year Average Allocation Instruction</t>
  </si>
  <si>
    <t>Avg (h+i)</t>
  </si>
  <si>
    <t>e=c*(1-d)</t>
  </si>
  <si>
    <t>Research</t>
  </si>
  <si>
    <t>Public Service</t>
  </si>
  <si>
    <t>% Share of FY2017 Base</t>
  </si>
  <si>
    <t xml:space="preserve">FY2018 Base Allocation </t>
  </si>
  <si>
    <t>% Share of FY2018 Allocation</t>
  </si>
  <si>
    <t>$ Change Over FY2017</t>
  </si>
  <si>
    <t>% Change Over FY2017</t>
  </si>
  <si>
    <t>Dakota County TC - Inver Hills CC</t>
  </si>
  <si>
    <t>Allocation for Student Success</t>
  </si>
  <si>
    <t>Sum A thru E</t>
  </si>
  <si>
    <t>F/tot F</t>
  </si>
  <si>
    <t>H/tot H</t>
  </si>
  <si>
    <t>i*$X</t>
  </si>
  <si>
    <t>L</t>
  </si>
  <si>
    <t>j+k</t>
  </si>
  <si>
    <t>g*$X</t>
  </si>
  <si>
    <t>L/tot L</t>
  </si>
  <si>
    <t>L-H</t>
  </si>
  <si>
    <t>N/H</t>
  </si>
  <si>
    <t>The lower the %, the more expenses are recognized</t>
  </si>
  <si>
    <t>(c-d)/c</t>
  </si>
  <si>
    <t xml:space="preserve"> c</t>
  </si>
  <si>
    <t>FY2016 Total GEN Revenue</t>
  </si>
  <si>
    <t>FY2016 Total State Appropriation</t>
  </si>
  <si>
    <t>Student Support and Institutional Support Regression Split and Headcount Recognition</t>
  </si>
  <si>
    <t>Student Support and Institutional Support Regression Splt and Headcount Recognition</t>
  </si>
  <si>
    <t>e*g</t>
  </si>
  <si>
    <t>b + d + f +h</t>
  </si>
  <si>
    <t>i*(1-f)</t>
  </si>
  <si>
    <t>k + l</t>
  </si>
  <si>
    <t>l</t>
  </si>
  <si>
    <t>m</t>
  </si>
  <si>
    <t>n</t>
  </si>
  <si>
    <t>Institutional Support Core</t>
  </si>
  <si>
    <t>Student Services Core</t>
  </si>
  <si>
    <t>Dollars per Headcount</t>
  </si>
  <si>
    <t>Dollars Generated Per Headcount</t>
  </si>
  <si>
    <t>Core plus Dollars per Headcount/FYE</t>
  </si>
  <si>
    <t>FY2017 Allocation for Student Services &amp; Institutional Support</t>
  </si>
  <si>
    <t>2 Year Average Allocation Student Services &amp; Institutional Support</t>
  </si>
  <si>
    <t>FY2016 FYE</t>
  </si>
  <si>
    <t>FY2016</t>
  </si>
  <si>
    <t>Adjusted FY2016 Headcount</t>
  </si>
  <si>
    <t>FY2018 Allocation for Student Services &amp; Institutional Support</t>
  </si>
  <si>
    <t>s:\finance\bargain\FY18 allocation\Summary of FY2018 Institutional Allocation Draft</t>
  </si>
  <si>
    <t>BASED ON FY2016 System DATA  -- January 2017</t>
  </si>
  <si>
    <t>FY2016 Academic Support Net Expenditures</t>
  </si>
  <si>
    <t>FY2016 Academic Support State Appro Expended</t>
  </si>
  <si>
    <t>Includes Library Spending</t>
  </si>
  <si>
    <t xml:space="preserve">Minnesota SC-Southeast </t>
  </si>
  <si>
    <t>FY2016 Instruction &amp; Academic Support State Appro Expended</t>
  </si>
  <si>
    <t>Student Success Measures</t>
  </si>
  <si>
    <t>Exceeding Expected Rates</t>
  </si>
  <si>
    <t>Improved Rates for SOC</t>
  </si>
  <si>
    <t>Table 2: Actual and Expected Third Term Persistence and Completion Rates and Additional Successful Students</t>
  </si>
  <si>
    <t>Fiscal Year 2015 Entering Students</t>
  </si>
  <si>
    <t>Colleges / Universities</t>
  </si>
  <si>
    <t>Cohort</t>
  </si>
  <si>
    <t>Success-ful</t>
  </si>
  <si>
    <t>Actual Rate</t>
  </si>
  <si>
    <t>Expected Rate</t>
  </si>
  <si>
    <t>Expected Successful</t>
  </si>
  <si>
    <t>Upper Limit One SD</t>
  </si>
  <si>
    <t>Expected Successful One SD</t>
  </si>
  <si>
    <t>Addnl Successful Students One SD</t>
  </si>
  <si>
    <t>Allocation</t>
  </si>
  <si>
    <t>Alexandria Technical and Community College</t>
  </si>
  <si>
    <t>Anoka-Ramsey Community College</t>
  </si>
  <si>
    <t>Anoka Technical College</t>
  </si>
  <si>
    <t>Dakota County Technical College</t>
  </si>
  <si>
    <t>Fond du Lac Tribal &amp; Community College</t>
  </si>
  <si>
    <t>Inver Hills Community College</t>
  </si>
  <si>
    <t>Minneapolis Community and Technical College</t>
  </si>
  <si>
    <t>Minnesota State College - Southeast Technical</t>
  </si>
  <si>
    <t>Minnesota State Community and Technical College</t>
  </si>
  <si>
    <t>Minnesota West Community &amp; Technical College</t>
  </si>
  <si>
    <t xml:space="preserve">   Hibbing Community College</t>
  </si>
  <si>
    <t xml:space="preserve">   Itasca Community College</t>
  </si>
  <si>
    <t xml:space="preserve">   Mesabi Range College</t>
  </si>
  <si>
    <t xml:space="preserve">   Rainy River Community College</t>
  </si>
  <si>
    <t xml:space="preserve">   Vermilion Community College</t>
  </si>
  <si>
    <t>Northland Community &amp; Technical College</t>
  </si>
  <si>
    <t>Northwest Technical College - Bemidji</t>
  </si>
  <si>
    <t>Pine Technical and Community College</t>
  </si>
  <si>
    <t>Rochester Community and Technical College</t>
  </si>
  <si>
    <t>St. Cloud Technical and Community College</t>
  </si>
  <si>
    <t>Colleges</t>
  </si>
  <si>
    <t>Bemidji State University</t>
  </si>
  <si>
    <t>Minnesota State University, Mankato</t>
  </si>
  <si>
    <t>Minnesota State University Moorhead</t>
  </si>
  <si>
    <t>St. Cloud State University</t>
  </si>
  <si>
    <t>Southwest Minnesota State University</t>
  </si>
  <si>
    <t>Winona State University</t>
  </si>
  <si>
    <t>Universities</t>
  </si>
  <si>
    <t>System</t>
  </si>
  <si>
    <t>Table 3: Persistence and Completion at Third Term - Students of Color</t>
  </si>
  <si>
    <t xml:space="preserve">Fiscal Years 2013 to 2015 Entering Students </t>
  </si>
  <si>
    <t>Change</t>
  </si>
  <si>
    <t>Addnl Success-</t>
  </si>
  <si>
    <t>College / University</t>
  </si>
  <si>
    <t>2013</t>
  </si>
  <si>
    <t>2014</t>
  </si>
  <si>
    <t>2015</t>
  </si>
  <si>
    <t>2013-2015</t>
  </si>
  <si>
    <t>Denominator</t>
  </si>
  <si>
    <t>ful Students</t>
  </si>
  <si>
    <t>Fond du Lac Tribal and Community College</t>
  </si>
  <si>
    <t>Minnesota State College Southeast</t>
  </si>
  <si>
    <t>Minnesota West Community and Technical College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</si>
  <si>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</si>
  <si>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</si>
  <si>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</si>
  <si>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</si>
  <si>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</si>
  <si>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Northland Community and Technical College</t>
  </si>
  <si>
    <t>Based on FY2013-2015 Enrollment Data</t>
  </si>
  <si>
    <t>Additional Weight Modeling based on total headcount and underrepresented headcount</t>
  </si>
  <si>
    <t xml:space="preserve">Additional Weight </t>
  </si>
  <si>
    <t>Fiscal Year 2018 Based on FY2016 Headcount</t>
  </si>
  <si>
    <t>Concurrrent Weight</t>
  </si>
  <si>
    <t>g=c+d+e-f</t>
  </si>
  <si>
    <t>h=g x weight</t>
  </si>
  <si>
    <t>j=(a-b)+h+i</t>
  </si>
  <si>
    <t>k=j-a/a</t>
  </si>
  <si>
    <t>Total Students</t>
  </si>
  <si>
    <t>Concurrent Headcount</t>
  </si>
  <si>
    <t xml:space="preserve">First Generation </t>
  </si>
  <si>
    <t xml:space="preserve">Pell Eligible </t>
  </si>
  <si>
    <t>Students of Color</t>
  </si>
  <si>
    <t>Concurrent Under represented</t>
  </si>
  <si>
    <t>First Generation + Pell Eligible + Students of Color</t>
  </si>
  <si>
    <t>Percent of Total</t>
  </si>
  <si>
    <t>Additional Weight for First Generation and Pell Eligible</t>
  </si>
  <si>
    <t>Concurrent Weigh</t>
  </si>
  <si>
    <t>Total Adjusted Headcount</t>
  </si>
  <si>
    <t>Percent Change in Adjusted Student Headcount</t>
  </si>
  <si>
    <t>Subtotal:  Colleges</t>
  </si>
  <si>
    <t>Subtotal:  Universities</t>
  </si>
  <si>
    <t>Total: System</t>
  </si>
  <si>
    <t>Total To Be Allocated</t>
  </si>
  <si>
    <t>Data from:  R:\Enrollment and Cost Trends\Enrollment\Fall 2015 Enrollment New Stds\New Student Enrollment Fall2015.accdb</t>
  </si>
  <si>
    <t>BASED ON FY2016 System DATA -- February 2017</t>
  </si>
  <si>
    <t>BASED ON FY2016 System DATA and FY2015 NATIONAL DATA -- January 2017</t>
  </si>
  <si>
    <t>Minnesota State</t>
  </si>
  <si>
    <t xml:space="preserve">Minnesota State </t>
  </si>
  <si>
    <t>Based on FY2016 System Data</t>
  </si>
  <si>
    <t>Metro Colleges</t>
  </si>
  <si>
    <t>Non-Metro Colleges</t>
  </si>
  <si>
    <t>Allocation Framework Sector Differences</t>
  </si>
  <si>
    <t>Metro all</t>
  </si>
  <si>
    <t>Non-Metro all</t>
  </si>
  <si>
    <t>Overall shift</t>
  </si>
  <si>
    <t>$ change</t>
  </si>
  <si>
    <t>% of $508 million</t>
  </si>
  <si>
    <t>BASED ON FY2016 System DATA and FY2015 NATIONAL DATA --February 2017</t>
  </si>
  <si>
    <t>FY17 Buydown</t>
  </si>
  <si>
    <t>FY2018 Access &amp; Opportunity</t>
  </si>
  <si>
    <t>Instruction &amp; Academic Support</t>
  </si>
  <si>
    <t>Facilities</t>
  </si>
  <si>
    <t>Student Success</t>
  </si>
  <si>
    <t>Student Services &amp; Institutional Support</t>
  </si>
  <si>
    <t>Research &amp; Public Service</t>
  </si>
  <si>
    <t>% Share of Allocation Framework</t>
  </si>
  <si>
    <t>50% FY2017 Base % Share</t>
  </si>
  <si>
    <t xml:space="preserve">BASED ON FY2016 System DATA </t>
  </si>
  <si>
    <t>R</t>
  </si>
  <si>
    <t>S</t>
  </si>
  <si>
    <t>FY14-17 Tuition Relief Allocation</t>
  </si>
  <si>
    <r>
      <rPr>
        <b/>
        <sz val="10"/>
        <color rgb="FFFF0000"/>
        <rFont val="Arial"/>
        <family val="2"/>
      </rPr>
      <t>NEW</t>
    </r>
    <r>
      <rPr>
        <b/>
        <sz val="10"/>
        <rFont val="Arial"/>
        <family val="2"/>
      </rPr>
      <t xml:space="preserve">          FY18 Tuition Relief Allocation</t>
    </r>
  </si>
  <si>
    <r>
      <rPr>
        <b/>
        <sz val="10"/>
        <color rgb="FFFF0000"/>
        <rFont val="Arial"/>
        <family val="2"/>
      </rPr>
      <t>NEW</t>
    </r>
    <r>
      <rPr>
        <b/>
        <sz val="10"/>
        <rFont val="Arial"/>
        <family val="2"/>
      </rPr>
      <t xml:space="preserve">          Rural College Campus Aid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</si>
</sst>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_(* #,##0_);_(* \(#,##0\);_(* &quot;-&quot;??_);_(@_)"/>
    <numFmt numFmtId="169" formatCode="&quot;$&quot;#,##0"/>
    <numFmt numFmtId="170" formatCode="#,##0.0000000000"/>
    <numFmt numFmtId="171" formatCode="_(&quot;$&quot;* #,##0_);_(&quot;$&quot;* \(#,##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7"/>
      <name val="Courier"/>
      <family val="3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01">
    <xf numFmtId="0" fontId="0" fillId="0" borderId="0" xfId="0"/>
    <xf numFmtId="0" fontId="3" fillId="2" borderId="1" xfId="7" applyFont="1" applyFill="1" applyBorder="1" applyAlignment="1">
      <alignment horizontal="center" wrapText="1"/>
    </xf>
    <xf numFmtId="0" fontId="5" fillId="2" borderId="0" xfId="7" applyFont="1" applyFill="1" applyBorder="1" applyAlignment="1">
      <alignment horizontal="center" wrapText="1"/>
    </xf>
    <xf numFmtId="0" fontId="5" fillId="0" borderId="1" xfId="7" applyFont="1" applyFill="1" applyBorder="1" applyAlignment="1">
      <alignment horizontal="left" wrapText="1"/>
    </xf>
    <xf numFmtId="0" fontId="6" fillId="0" borderId="0" xfId="0" applyFont="1"/>
    <xf numFmtId="38" fontId="6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5" fillId="0" borderId="1" xfId="7" applyFont="1" applyFill="1" applyBorder="1" applyAlignment="1">
      <alignment horizontal="center" wrapText="1"/>
    </xf>
    <xf numFmtId="38" fontId="0" fillId="0" borderId="0" xfId="0" applyNumberFormat="1"/>
    <xf numFmtId="3" fontId="6" fillId="0" borderId="0" xfId="0" applyNumberFormat="1" applyFont="1"/>
    <xf numFmtId="0" fontId="6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0" fillId="0" borderId="0" xfId="0" applyBorder="1"/>
    <xf numFmtId="49" fontId="7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0" fontId="6" fillId="0" borderId="0" xfId="0" applyFont="1" applyBorder="1"/>
    <xf numFmtId="10" fontId="6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68" fontId="0" fillId="0" borderId="0" xfId="1" applyNumberFormat="1" applyFont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0" fillId="2" borderId="0" xfId="0" applyNumberFormat="1" applyFill="1"/>
    <xf numFmtId="0" fontId="10" fillId="0" borderId="0" xfId="0" applyFont="1" applyBorder="1" applyAlignment="1">
      <alignment horizontal="center"/>
    </xf>
    <xf numFmtId="10" fontId="0" fillId="0" borderId="0" xfId="0" applyNumberFormat="1" applyBorder="1"/>
    <xf numFmtId="0" fontId="9" fillId="0" borderId="0" xfId="0" applyFont="1" applyBorder="1"/>
    <xf numFmtId="0" fontId="6" fillId="0" borderId="4" xfId="0" applyFont="1" applyBorder="1" applyAlignment="1">
      <alignment horizontal="center" wrapText="1"/>
    </xf>
    <xf numFmtId="38" fontId="6" fillId="2" borderId="4" xfId="0" applyNumberFormat="1" applyFont="1" applyFill="1" applyBorder="1" applyAlignment="1">
      <alignment horizontal="center" wrapText="1"/>
    </xf>
    <xf numFmtId="38" fontId="6" fillId="0" borderId="0" xfId="0" applyNumberFormat="1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5" fillId="2" borderId="0" xfId="8" applyFont="1" applyFill="1" applyBorder="1" applyAlignment="1">
      <alignment horizontal="center"/>
    </xf>
    <xf numFmtId="38" fontId="0" fillId="0" borderId="4" xfId="0" applyNumberFormat="1" applyBorder="1"/>
    <xf numFmtId="0" fontId="13" fillId="0" borderId="0" xfId="0" applyFont="1"/>
    <xf numFmtId="49" fontId="5" fillId="0" borderId="1" xfId="7" applyNumberFormat="1" applyFont="1" applyFill="1" applyBorder="1" applyAlignment="1">
      <alignment horizontal="center" wrapText="1"/>
    </xf>
    <xf numFmtId="38" fontId="0" fillId="2" borderId="4" xfId="0" applyNumberFormat="1" applyFill="1" applyBorder="1"/>
    <xf numFmtId="0" fontId="6" fillId="0" borderId="0" xfId="0" applyFont="1" applyBorder="1" applyAlignment="1">
      <alignment horizontal="left"/>
    </xf>
    <xf numFmtId="10" fontId="6" fillId="2" borderId="12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7" fontId="0" fillId="0" borderId="4" xfId="9" applyNumberFormat="1" applyFont="1" applyBorder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0" fontId="6" fillId="2" borderId="2" xfId="0" applyNumberFormat="1" applyFont="1" applyFill="1" applyBorder="1" applyAlignment="1">
      <alignment horizontal="center" wrapText="1"/>
    </xf>
    <xf numFmtId="10" fontId="0" fillId="2" borderId="1" xfId="9" applyNumberFormat="1" applyFont="1" applyFill="1" applyBorder="1"/>
    <xf numFmtId="10" fontId="6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6" fillId="0" borderId="0" xfId="0" applyNumberFormat="1" applyFont="1" applyFill="1"/>
    <xf numFmtId="168" fontId="0" fillId="0" borderId="0" xfId="1" applyNumberFormat="1" applyFont="1" applyFill="1"/>
    <xf numFmtId="0" fontId="0" fillId="0" borderId="0" xfId="0" applyFill="1" applyBorder="1"/>
    <xf numFmtId="0" fontId="8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38" fontId="6" fillId="3" borderId="4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0" fillId="3" borderId="4" xfId="0" applyNumberFormat="1" applyFill="1" applyBorder="1"/>
    <xf numFmtId="0" fontId="0" fillId="4" borderId="0" xfId="0" applyFill="1"/>
    <xf numFmtId="3" fontId="6" fillId="4" borderId="0" xfId="0" applyNumberFormat="1" applyFont="1" applyFill="1"/>
    <xf numFmtId="10" fontId="8" fillId="4" borderId="0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0" fillId="4" borderId="0" xfId="0" applyNumberFormat="1" applyFill="1"/>
    <xf numFmtId="38" fontId="0" fillId="4" borderId="1" xfId="0" applyNumberFormat="1" applyFill="1" applyBorder="1"/>
    <xf numFmtId="10" fontId="6" fillId="4" borderId="0" xfId="0" applyNumberFormat="1" applyFont="1" applyFill="1"/>
    <xf numFmtId="0" fontId="13" fillId="4" borderId="0" xfId="0" applyFont="1" applyFill="1" applyAlignment="1">
      <alignment horizontal="left"/>
    </xf>
    <xf numFmtId="38" fontId="0" fillId="4" borderId="0" xfId="0" applyNumberForma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38" fontId="6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3" fillId="4" borderId="1" xfId="8" applyFont="1" applyFill="1" applyBorder="1" applyAlignment="1">
      <alignment horizontal="center" wrapText="1"/>
    </xf>
    <xf numFmtId="38" fontId="6" fillId="4" borderId="1" xfId="0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wrapText="1"/>
    </xf>
    <xf numFmtId="0" fontId="5" fillId="4" borderId="0" xfId="8" applyFont="1" applyFill="1" applyBorder="1" applyAlignment="1">
      <alignment horizontal="center"/>
    </xf>
    <xf numFmtId="0" fontId="5" fillId="4" borderId="1" xfId="7" applyFont="1" applyFill="1" applyBorder="1" applyAlignment="1">
      <alignment horizontal="center" wrapText="1"/>
    </xf>
    <xf numFmtId="49" fontId="5" fillId="4" borderId="1" xfId="7" applyNumberFormat="1" applyFont="1" applyFill="1" applyBorder="1" applyAlignment="1">
      <alignment horizontal="center" wrapText="1"/>
    </xf>
    <xf numFmtId="49" fontId="7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/>
    <xf numFmtId="38" fontId="0" fillId="0" borderId="0" xfId="0" applyNumberFormat="1" applyFill="1" applyBorder="1"/>
    <xf numFmtId="38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5" fillId="0" borderId="1" xfId="7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7" fontId="6" fillId="0" borderId="4" xfId="0" applyNumberFormat="1" applyFont="1" applyFill="1" applyBorder="1" applyAlignment="1">
      <alignment horizontal="center"/>
    </xf>
    <xf numFmtId="7" fontId="6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6" fillId="0" borderId="4" xfId="2" applyNumberFormat="1" applyFont="1" applyFill="1" applyBorder="1" applyAlignment="1">
      <alignment horizontal="center"/>
    </xf>
    <xf numFmtId="169" fontId="6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" fontId="0" fillId="0" borderId="0" xfId="0" applyNumberFormat="1" applyFill="1"/>
    <xf numFmtId="38" fontId="6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6" fontId="0" fillId="0" borderId="0" xfId="0" applyNumberFormat="1" applyFill="1"/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 vertical="top"/>
    </xf>
    <xf numFmtId="0" fontId="3" fillId="0" borderId="3" xfId="7" applyFont="1" applyFill="1" applyBorder="1" applyAlignment="1">
      <alignment horizontal="center"/>
    </xf>
    <xf numFmtId="6" fontId="6" fillId="0" borderId="3" xfId="0" applyNumberFormat="1" applyFont="1" applyFill="1" applyBorder="1" applyAlignment="1">
      <alignment horizontal="center"/>
    </xf>
    <xf numFmtId="0" fontId="0" fillId="0" borderId="10" xfId="0" applyFill="1" applyBorder="1"/>
    <xf numFmtId="169" fontId="0" fillId="0" borderId="10" xfId="0" applyNumberFormat="1" applyFill="1" applyBorder="1"/>
    <xf numFmtId="0" fontId="0" fillId="0" borderId="11" xfId="0" applyFill="1" applyBorder="1"/>
    <xf numFmtId="0" fontId="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10" fontId="5" fillId="0" borderId="1" xfId="7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5" fillId="0" borderId="1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center" wrapText="1"/>
    </xf>
    <xf numFmtId="0" fontId="5" fillId="0" borderId="0" xfId="7" applyFont="1" applyFill="1" applyBorder="1" applyAlignment="1">
      <alignment horizontal="left" wrapText="1"/>
    </xf>
    <xf numFmtId="6" fontId="0" fillId="0" borderId="0" xfId="0" applyNumberFormat="1" applyFill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0" fontId="5" fillId="0" borderId="0" xfId="7" applyNumberFormat="1" applyFont="1" applyFill="1" applyBorder="1" applyAlignment="1">
      <alignment horizontal="right" wrapText="1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5" fillId="0" borderId="1" xfId="7" applyNumberFormat="1" applyFont="1" applyFill="1" applyBorder="1" applyAlignment="1">
      <alignment horizontal="right" wrapText="1"/>
    </xf>
    <xf numFmtId="0" fontId="5" fillId="0" borderId="14" xfId="5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right" wrapText="1"/>
    </xf>
    <xf numFmtId="10" fontId="0" fillId="0" borderId="0" xfId="0" applyNumberFormat="1" applyFill="1"/>
    <xf numFmtId="38" fontId="5" fillId="0" borderId="1" xfId="1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10" fontId="0" fillId="0" borderId="4" xfId="0" applyNumberFormat="1" applyFill="1" applyBorder="1"/>
    <xf numFmtId="167" fontId="0" fillId="0" borderId="4" xfId="9" applyNumberFormat="1" applyFont="1" applyFill="1" applyBorder="1"/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wrapText="1"/>
    </xf>
    <xf numFmtId="3" fontId="3" fillId="0" borderId="1" xfId="7" applyNumberFormat="1" applyFont="1" applyFill="1" applyBorder="1" applyAlignment="1">
      <alignment horizontal="center" wrapText="1"/>
    </xf>
    <xf numFmtId="10" fontId="6" fillId="0" borderId="1" xfId="0" applyNumberFormat="1" applyFont="1" applyFill="1" applyBorder="1" applyAlignment="1">
      <alignment horizontal="center" wrapText="1"/>
    </xf>
    <xf numFmtId="1" fontId="3" fillId="0" borderId="1" xfId="7" applyNumberFormat="1" applyFont="1" applyFill="1" applyBorder="1" applyAlignment="1">
      <alignment horizontal="center" wrapText="1" shrinkToFit="1"/>
    </xf>
    <xf numFmtId="0" fontId="3" fillId="0" borderId="6" xfId="7" applyFont="1" applyFill="1" applyBorder="1" applyAlignment="1">
      <alignment horizontal="center" wrapText="1"/>
    </xf>
    <xf numFmtId="38" fontId="5" fillId="0" borderId="6" xfId="3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center" wrapText="1"/>
    </xf>
    <xf numFmtId="3" fontId="3" fillId="0" borderId="0" xfId="7" applyNumberFormat="1" applyFont="1" applyFill="1" applyBorder="1" applyAlignment="1">
      <alignment horizontal="center"/>
    </xf>
    <xf numFmtId="38" fontId="5" fillId="0" borderId="4" xfId="3" applyNumberFormat="1" applyFont="1" applyFill="1" applyBorder="1" applyAlignment="1">
      <alignment horizontal="right" wrapText="1"/>
    </xf>
    <xf numFmtId="10" fontId="5" fillId="0" borderId="8" xfId="7" applyNumberFormat="1" applyFont="1" applyFill="1" applyBorder="1" applyAlignment="1">
      <alignment horizontal="right" wrapText="1"/>
    </xf>
    <xf numFmtId="3" fontId="5" fillId="0" borderId="1" xfId="7" applyNumberFormat="1" applyFont="1" applyFill="1" applyBorder="1" applyAlignment="1">
      <alignment horizontal="right" wrapText="1"/>
    </xf>
    <xf numFmtId="10" fontId="0" fillId="0" borderId="0" xfId="9" applyNumberFormat="1" applyFont="1" applyFill="1"/>
    <xf numFmtId="4" fontId="0" fillId="0" borderId="0" xfId="0" applyNumberFormat="1" applyFill="1"/>
    <xf numFmtId="170" fontId="0" fillId="0" borderId="0" xfId="0" applyNumberFormat="1" applyFill="1"/>
    <xf numFmtId="0" fontId="13" fillId="0" borderId="0" xfId="0" applyFont="1" applyFill="1" applyAlignment="1"/>
    <xf numFmtId="0" fontId="0" fillId="0" borderId="0" xfId="0" applyFill="1" applyAlignment="1"/>
    <xf numFmtId="0" fontId="2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/>
    <xf numFmtId="38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38" fontId="3" fillId="0" borderId="0" xfId="7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8" fontId="0" fillId="0" borderId="0" xfId="0" applyNumberFormat="1" applyFill="1"/>
    <xf numFmtId="3" fontId="0" fillId="0" borderId="0" xfId="0" applyNumberFormat="1" applyFill="1" applyBorder="1"/>
    <xf numFmtId="49" fontId="7" fillId="0" borderId="0" xfId="0" applyNumberFormat="1" applyFont="1" applyFill="1" applyAlignment="1"/>
    <xf numFmtId="10" fontId="3" fillId="0" borderId="0" xfId="7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8" fontId="5" fillId="0" borderId="0" xfId="1" applyNumberFormat="1" applyFont="1" applyFill="1" applyBorder="1" applyAlignment="1">
      <alignment horizontal="right" wrapText="1"/>
    </xf>
    <xf numFmtId="0" fontId="6" fillId="5" borderId="0" xfId="0" applyFont="1" applyFill="1" applyBorder="1"/>
    <xf numFmtId="168" fontId="5" fillId="0" borderId="4" xfId="1" applyNumberFormat="1" applyFont="1" applyFill="1" applyBorder="1" applyAlignment="1">
      <alignment horizontal="right" wrapText="1"/>
    </xf>
    <xf numFmtId="0" fontId="6" fillId="6" borderId="19" xfId="0" applyFont="1" applyFill="1" applyBorder="1" applyAlignment="1">
      <alignment horizontal="center" wrapText="1"/>
    </xf>
    <xf numFmtId="0" fontId="0" fillId="6" borderId="0" xfId="0" applyFill="1"/>
    <xf numFmtId="168" fontId="0" fillId="0" borderId="0" xfId="0" applyNumberFormat="1"/>
    <xf numFmtId="0" fontId="13" fillId="0" borderId="0" xfId="0" applyFont="1" applyFill="1" applyBorder="1"/>
    <xf numFmtId="0" fontId="6" fillId="0" borderId="3" xfId="0" applyFont="1" applyFill="1" applyBorder="1"/>
    <xf numFmtId="0" fontId="3" fillId="0" borderId="2" xfId="7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center"/>
    </xf>
    <xf numFmtId="38" fontId="5" fillId="0" borderId="1" xfId="4" applyNumberFormat="1" applyFont="1" applyFill="1" applyBorder="1" applyAlignment="1">
      <alignment horizontal="right" wrapText="1"/>
    </xf>
    <xf numFmtId="38" fontId="2" fillId="0" borderId="1" xfId="4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49" fontId="6" fillId="0" borderId="13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/>
    </xf>
    <xf numFmtId="38" fontId="6" fillId="0" borderId="5" xfId="0" applyNumberFormat="1" applyFont="1" applyFill="1" applyBorder="1" applyAlignment="1">
      <alignment horizontal="center" wrapText="1"/>
    </xf>
    <xf numFmtId="0" fontId="5" fillId="0" borderId="15" xfId="5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38" fontId="5" fillId="0" borderId="9" xfId="7" applyNumberFormat="1" applyFont="1" applyFill="1" applyBorder="1" applyAlignment="1">
      <alignment horizontal="right" wrapText="1"/>
    </xf>
    <xf numFmtId="38" fontId="5" fillId="0" borderId="1" xfId="5" applyNumberFormat="1" applyFont="1" applyFill="1" applyBorder="1" applyAlignment="1">
      <alignment horizontal="right" wrapText="1"/>
    </xf>
    <xf numFmtId="168" fontId="5" fillId="0" borderId="7" xfId="5" applyNumberFormat="1" applyFont="1" applyFill="1" applyBorder="1" applyAlignment="1">
      <alignment horizontal="right" wrapText="1"/>
    </xf>
    <xf numFmtId="168" fontId="5" fillId="0" borderId="9" xfId="7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6" fillId="0" borderId="2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10" xfId="7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38" fontId="15" fillId="0" borderId="1" xfId="7" applyNumberFormat="1" applyFont="1" applyFill="1" applyBorder="1" applyAlignment="1">
      <alignment horizontal="right"/>
    </xf>
    <xf numFmtId="38" fontId="5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 applyBorder="1" applyAlignment="1">
      <alignment horizontal="right"/>
    </xf>
    <xf numFmtId="9" fontId="0" fillId="0" borderId="0" xfId="9" applyFont="1" applyFill="1"/>
    <xf numFmtId="167" fontId="0" fillId="0" borderId="0" xfId="9" applyNumberFormat="1" applyFont="1" applyFill="1"/>
    <xf numFmtId="9" fontId="6" fillId="0" borderId="0" xfId="0" applyNumberFormat="1" applyFont="1" applyFill="1"/>
    <xf numFmtId="0" fontId="6" fillId="0" borderId="0" xfId="0" applyFont="1" applyAlignment="1">
      <alignment horizontal="center"/>
    </xf>
    <xf numFmtId="9" fontId="0" fillId="4" borderId="0" xfId="9" applyFont="1" applyFill="1"/>
    <xf numFmtId="3" fontId="5" fillId="0" borderId="0" xfId="7" applyNumberFormat="1" applyFont="1" applyFill="1" applyBorder="1" applyAlignment="1">
      <alignment horizontal="center" wrapText="1"/>
    </xf>
    <xf numFmtId="0" fontId="2" fillId="0" borderId="0" xfId="0" applyFont="1"/>
    <xf numFmtId="168" fontId="6" fillId="0" borderId="0" xfId="0" applyNumberFormat="1" applyFont="1"/>
    <xf numFmtId="167" fontId="6" fillId="0" borderId="0" xfId="9" applyNumberFormat="1" applyFont="1" applyFill="1" applyBorder="1"/>
    <xf numFmtId="3" fontId="2" fillId="7" borderId="19" xfId="1" applyNumberFormat="1" applyFont="1" applyFill="1" applyBorder="1"/>
    <xf numFmtId="38" fontId="6" fillId="0" borderId="2" xfId="0" applyNumberFormat="1" applyFont="1" applyFill="1" applyBorder="1" applyAlignment="1">
      <alignment horizontal="center" wrapText="1"/>
    </xf>
    <xf numFmtId="9" fontId="0" fillId="0" borderId="0" xfId="9" applyNumberFormat="1" applyFont="1" applyFill="1"/>
    <xf numFmtId="38" fontId="3" fillId="0" borderId="0" xfId="7" applyNumberFormat="1" applyFont="1" applyFill="1" applyBorder="1" applyAlignment="1">
      <alignment horizontal="right" wrapText="1"/>
    </xf>
    <xf numFmtId="168" fontId="0" fillId="0" borderId="0" xfId="1" applyNumberFormat="1" applyFont="1" applyBorder="1"/>
    <xf numFmtId="0" fontId="6" fillId="9" borderId="19" xfId="0" applyFont="1" applyFill="1" applyBorder="1" applyAlignment="1">
      <alignment horizontal="center" wrapText="1"/>
    </xf>
    <xf numFmtId="168" fontId="0" fillId="9" borderId="4" xfId="1" applyNumberFormat="1" applyFont="1" applyFill="1" applyBorder="1"/>
    <xf numFmtId="0" fontId="6" fillId="2" borderId="21" xfId="0" applyFont="1" applyFill="1" applyBorder="1" applyAlignment="1">
      <alignment horizontal="center" wrapText="1"/>
    </xf>
    <xf numFmtId="0" fontId="3" fillId="2" borderId="21" xfId="8" applyFont="1" applyFill="1" applyBorder="1" applyAlignment="1">
      <alignment horizontal="center" wrapText="1"/>
    </xf>
    <xf numFmtId="38" fontId="6" fillId="2" borderId="20" xfId="0" applyNumberFormat="1" applyFont="1" applyFill="1" applyBorder="1" applyAlignment="1">
      <alignment horizontal="center" wrapText="1"/>
    </xf>
    <xf numFmtId="49" fontId="5" fillId="0" borderId="21" xfId="7" applyNumberFormat="1" applyFont="1" applyFill="1" applyBorder="1" applyAlignment="1">
      <alignment horizontal="center" wrapText="1"/>
    </xf>
    <xf numFmtId="0" fontId="5" fillId="0" borderId="21" xfId="7" applyFont="1" applyFill="1" applyBorder="1" applyAlignment="1">
      <alignment horizontal="left" wrapText="1"/>
    </xf>
    <xf numFmtId="38" fontId="0" fillId="0" borderId="21" xfId="0" applyNumberFormat="1" applyBorder="1"/>
    <xf numFmtId="10" fontId="0" fillId="0" borderId="21" xfId="9" applyNumberFormat="1" applyFont="1" applyBorder="1"/>
    <xf numFmtId="38" fontId="0" fillId="0" borderId="21" xfId="0" applyNumberFormat="1" applyFill="1" applyBorder="1"/>
    <xf numFmtId="3" fontId="0" fillId="0" borderId="21" xfId="0" applyNumberFormat="1" applyFill="1" applyBorder="1"/>
    <xf numFmtId="3" fontId="0" fillId="0" borderId="21" xfId="0" applyNumberFormat="1" applyBorder="1"/>
    <xf numFmtId="0" fontId="5" fillId="0" borderId="21" xfId="7" applyFont="1" applyFill="1" applyBorder="1" applyAlignment="1">
      <alignment horizontal="left"/>
    </xf>
    <xf numFmtId="38" fontId="2" fillId="0" borderId="0" xfId="0" applyNumberFormat="1" applyFont="1"/>
    <xf numFmtId="10" fontId="2" fillId="0" borderId="0" xfId="9" applyNumberFormat="1" applyFont="1"/>
    <xf numFmtId="0" fontId="13" fillId="0" borderId="0" xfId="10" applyFont="1" applyFill="1"/>
    <xf numFmtId="0" fontId="2" fillId="0" borderId="0" xfId="10" applyFill="1"/>
    <xf numFmtId="3" fontId="2" fillId="0" borderId="0" xfId="10" applyNumberFormat="1" applyFill="1"/>
    <xf numFmtId="38" fontId="2" fillId="0" borderId="0" xfId="10" applyNumberFormat="1" applyFill="1"/>
    <xf numFmtId="10" fontId="2" fillId="0" borderId="0" xfId="10" applyNumberFormat="1" applyFill="1"/>
    <xf numFmtId="0" fontId="6" fillId="0" borderId="0" xfId="10" applyFont="1" applyFill="1"/>
    <xf numFmtId="0" fontId="6" fillId="0" borderId="0" xfId="10" applyFont="1" applyFill="1" applyAlignment="1">
      <alignment horizontal="left"/>
    </xf>
    <xf numFmtId="0" fontId="6" fillId="0" borderId="0" xfId="10" applyFont="1" applyFill="1" applyAlignment="1">
      <alignment horizontal="center"/>
    </xf>
    <xf numFmtId="3" fontId="6" fillId="0" borderId="0" xfId="10" applyNumberFormat="1" applyFont="1" applyFill="1" applyAlignment="1">
      <alignment horizontal="center"/>
    </xf>
    <xf numFmtId="38" fontId="6" fillId="0" borderId="0" xfId="10" applyNumberFormat="1" applyFont="1" applyFill="1" applyAlignment="1">
      <alignment horizontal="center"/>
    </xf>
    <xf numFmtId="10" fontId="6" fillId="0" borderId="0" xfId="10" applyNumberFormat="1" applyFont="1" applyFill="1" applyAlignment="1">
      <alignment horizontal="center"/>
    </xf>
    <xf numFmtId="0" fontId="2" fillId="0" borderId="0" xfId="10" applyFill="1" applyAlignment="1">
      <alignment horizontal="center"/>
    </xf>
    <xf numFmtId="0" fontId="3" fillId="0" borderId="22" xfId="7" applyFont="1" applyFill="1" applyBorder="1" applyAlignment="1">
      <alignment horizontal="center" wrapText="1"/>
    </xf>
    <xf numFmtId="3" fontId="17" fillId="0" borderId="22" xfId="7" applyNumberFormat="1" applyFont="1" applyFill="1" applyBorder="1" applyAlignment="1">
      <alignment horizontal="center" wrapText="1"/>
    </xf>
    <xf numFmtId="38" fontId="18" fillId="0" borderId="22" xfId="10" applyNumberFormat="1" applyFont="1" applyFill="1" applyBorder="1" applyAlignment="1">
      <alignment horizontal="center" wrapText="1"/>
    </xf>
    <xf numFmtId="38" fontId="17" fillId="0" borderId="22" xfId="7" applyNumberFormat="1" applyFont="1" applyFill="1" applyBorder="1" applyAlignment="1">
      <alignment horizontal="center" wrapText="1"/>
    </xf>
    <xf numFmtId="10" fontId="6" fillId="0" borderId="0" xfId="10" applyNumberFormat="1" applyFont="1" applyFill="1" applyBorder="1" applyAlignment="1">
      <alignment horizontal="center" wrapText="1"/>
    </xf>
    <xf numFmtId="10" fontId="6" fillId="0" borderId="22" xfId="10" applyNumberFormat="1" applyFont="1" applyFill="1" applyBorder="1" applyAlignment="1">
      <alignment horizontal="center" wrapText="1"/>
    </xf>
    <xf numFmtId="0" fontId="2" fillId="0" borderId="0" xfId="10" applyFill="1" applyAlignment="1">
      <alignment wrapText="1"/>
    </xf>
    <xf numFmtId="38" fontId="3" fillId="0" borderId="22" xfId="7" applyNumberFormat="1" applyFont="1" applyFill="1" applyBorder="1" applyAlignment="1">
      <alignment horizontal="center" wrapText="1"/>
    </xf>
    <xf numFmtId="38" fontId="2" fillId="0" borderId="0" xfId="10" applyNumberFormat="1" applyFill="1" applyBorder="1" applyAlignment="1">
      <alignment horizontal="center" wrapText="1"/>
    </xf>
    <xf numFmtId="10" fontId="2" fillId="0" borderId="0" xfId="10" applyNumberFormat="1" applyFill="1" applyAlignment="1">
      <alignment wrapText="1"/>
    </xf>
    <xf numFmtId="0" fontId="5" fillId="0" borderId="23" xfId="7" applyFont="1" applyFill="1" applyBorder="1" applyAlignment="1">
      <alignment horizontal="center" wrapText="1"/>
    </xf>
    <xf numFmtId="0" fontId="5" fillId="0" borderId="22" xfId="7" applyFont="1" applyFill="1" applyBorder="1" applyAlignment="1">
      <alignment horizontal="left" wrapText="1"/>
    </xf>
    <xf numFmtId="168" fontId="5" fillId="0" borderId="23" xfId="6" applyNumberFormat="1" applyFont="1" applyFill="1" applyBorder="1" applyAlignment="1">
      <alignment horizontal="right" wrapText="1"/>
    </xf>
    <xf numFmtId="38" fontId="5" fillId="0" borderId="24" xfId="7" applyNumberFormat="1" applyFont="1" applyFill="1" applyBorder="1" applyAlignment="1">
      <alignment horizontal="right" wrapText="1"/>
    </xf>
    <xf numFmtId="38" fontId="5" fillId="0" borderId="25" xfId="7" applyNumberFormat="1" applyFont="1" applyFill="1" applyBorder="1" applyAlignment="1">
      <alignment horizontal="right" wrapText="1"/>
    </xf>
    <xf numFmtId="38" fontId="2" fillId="0" borderId="23" xfId="10" applyNumberFormat="1" applyFill="1" applyBorder="1" applyAlignment="1">
      <alignment horizontal="right"/>
    </xf>
    <xf numFmtId="10" fontId="2" fillId="0" borderId="0" xfId="10" applyNumberFormat="1" applyFill="1" applyBorder="1" applyAlignment="1">
      <alignment horizontal="right"/>
    </xf>
    <xf numFmtId="10" fontId="2" fillId="0" borderId="23" xfId="10" applyNumberFormat="1" applyFill="1" applyBorder="1"/>
    <xf numFmtId="168" fontId="5" fillId="0" borderId="23" xfId="1" applyNumberFormat="1" applyFont="1" applyFill="1" applyBorder="1" applyAlignment="1">
      <alignment horizontal="right" wrapText="1"/>
    </xf>
    <xf numFmtId="0" fontId="5" fillId="0" borderId="22" xfId="7" applyFont="1" applyFill="1" applyBorder="1" applyAlignment="1">
      <alignment horizontal="left"/>
    </xf>
    <xf numFmtId="49" fontId="5" fillId="0" borderId="22" xfId="7" applyNumberFormat="1" applyFont="1" applyFill="1" applyBorder="1" applyAlignment="1">
      <alignment horizontal="center" wrapText="1"/>
    </xf>
    <xf numFmtId="49" fontId="5" fillId="0" borderId="23" xfId="7" applyNumberFormat="1" applyFont="1" applyFill="1" applyBorder="1" applyAlignment="1">
      <alignment horizontal="center" wrapText="1"/>
    </xf>
    <xf numFmtId="3" fontId="2" fillId="0" borderId="0" xfId="10" applyNumberFormat="1" applyFill="1" applyAlignment="1">
      <alignment horizontal="right"/>
    </xf>
    <xf numFmtId="38" fontId="2" fillId="0" borderId="0" xfId="10" applyNumberFormat="1" applyFill="1" applyAlignment="1">
      <alignment horizontal="right"/>
    </xf>
    <xf numFmtId="0" fontId="2" fillId="0" borderId="0" xfId="10" applyFill="1" applyAlignment="1">
      <alignment horizontal="right"/>
    </xf>
    <xf numFmtId="10" fontId="2" fillId="0" borderId="0" xfId="10" applyNumberFormat="1" applyFill="1" applyAlignment="1">
      <alignment horizontal="right"/>
    </xf>
    <xf numFmtId="0" fontId="2" fillId="0" borderId="0" xfId="10" applyFont="1" applyFill="1" applyAlignment="1">
      <alignment horizontal="left"/>
    </xf>
    <xf numFmtId="0" fontId="2" fillId="0" borderId="0" xfId="10" applyFill="1" applyAlignment="1">
      <alignment horizontal="left"/>
    </xf>
    <xf numFmtId="49" fontId="7" fillId="0" borderId="0" xfId="10" applyNumberFormat="1" applyFont="1" applyFill="1" applyAlignment="1">
      <alignment horizontal="left"/>
    </xf>
    <xf numFmtId="0" fontId="6" fillId="0" borderId="0" xfId="0" applyFont="1" applyFill="1" applyBorder="1"/>
    <xf numFmtId="0" fontId="19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3" fillId="0" borderId="22" xfId="7" applyFont="1" applyFill="1" applyBorder="1" applyAlignment="1">
      <alignment horizontal="center"/>
    </xf>
    <xf numFmtId="0" fontId="3" fillId="10" borderId="22" xfId="7" applyFont="1" applyFill="1" applyBorder="1" applyAlignment="1">
      <alignment horizontal="center" wrapText="1"/>
    </xf>
    <xf numFmtId="38" fontId="3" fillId="10" borderId="22" xfId="7" applyNumberFormat="1" applyFont="1" applyFill="1" applyBorder="1" applyAlignment="1">
      <alignment horizontal="center" wrapText="1"/>
    </xf>
    <xf numFmtId="0" fontId="3" fillId="8" borderId="22" xfId="7" applyFont="1" applyFill="1" applyBorder="1" applyAlignment="1">
      <alignment horizontal="center" wrapText="1"/>
    </xf>
    <xf numFmtId="38" fontId="3" fillId="8" borderId="22" xfId="7" applyNumberFormat="1" applyFont="1" applyFill="1" applyBorder="1" applyAlignment="1">
      <alignment horizontal="center" wrapText="1"/>
    </xf>
    <xf numFmtId="10" fontId="6" fillId="0" borderId="22" xfId="0" applyNumberFormat="1" applyFont="1" applyFill="1" applyBorder="1" applyAlignment="1">
      <alignment horizontal="center" wrapText="1"/>
    </xf>
    <xf numFmtId="3" fontId="6" fillId="0" borderId="23" xfId="0" applyNumberFormat="1" applyFont="1" applyFill="1" applyBorder="1" applyAlignment="1">
      <alignment horizontal="center" wrapText="1"/>
    </xf>
    <xf numFmtId="0" fontId="3" fillId="0" borderId="25" xfId="7" applyFont="1" applyFill="1" applyBorder="1" applyAlignment="1">
      <alignment horizontal="center"/>
    </xf>
    <xf numFmtId="38" fontId="3" fillId="10" borderId="0" xfId="7" applyNumberFormat="1" applyFont="1" applyFill="1" applyBorder="1" applyAlignment="1">
      <alignment horizontal="center" wrapText="1"/>
    </xf>
    <xf numFmtId="38" fontId="3" fillId="10" borderId="25" xfId="7" applyNumberFormat="1" applyFont="1" applyFill="1" applyBorder="1" applyAlignment="1">
      <alignment horizontal="center" wrapText="1"/>
    </xf>
    <xf numFmtId="38" fontId="3" fillId="8" borderId="0" xfId="7" applyNumberFormat="1" applyFont="1" applyFill="1" applyBorder="1" applyAlignment="1">
      <alignment horizontal="center" wrapText="1"/>
    </xf>
    <xf numFmtId="38" fontId="3" fillId="8" borderId="25" xfId="7" applyNumberFormat="1" applyFont="1" applyFill="1" applyBorder="1" applyAlignment="1">
      <alignment horizontal="center" wrapText="1"/>
    </xf>
    <xf numFmtId="38" fontId="3" fillId="0" borderId="25" xfId="7" applyNumberFormat="1" applyFont="1" applyFill="1" applyBorder="1" applyAlignment="1">
      <alignment horizontal="center" wrapText="1"/>
    </xf>
    <xf numFmtId="3" fontId="6" fillId="0" borderId="26" xfId="0" applyNumberFormat="1" applyFont="1" applyFill="1" applyBorder="1" applyAlignment="1">
      <alignment horizontal="center" wrapText="1"/>
    </xf>
    <xf numFmtId="0" fontId="5" fillId="0" borderId="22" xfId="7" applyFont="1" applyFill="1" applyBorder="1" applyAlignment="1">
      <alignment horizontal="center" wrapText="1"/>
    </xf>
    <xf numFmtId="3" fontId="0" fillId="10" borderId="23" xfId="0" applyNumberFormat="1" applyFill="1" applyBorder="1"/>
    <xf numFmtId="38" fontId="5" fillId="10" borderId="22" xfId="7" applyNumberFormat="1" applyFont="1" applyFill="1" applyBorder="1" applyAlignment="1">
      <alignment horizontal="right" wrapText="1"/>
    </xf>
    <xf numFmtId="3" fontId="0" fillId="8" borderId="23" xfId="0" applyNumberFormat="1" applyFill="1" applyBorder="1"/>
    <xf numFmtId="38" fontId="5" fillId="8" borderId="22" xfId="7" applyNumberFormat="1" applyFont="1" applyFill="1" applyBorder="1" applyAlignment="1">
      <alignment horizontal="right" wrapText="1"/>
    </xf>
    <xf numFmtId="38" fontId="5" fillId="0" borderId="22" xfId="7" applyNumberFormat="1" applyFont="1" applyFill="1" applyBorder="1" applyAlignment="1">
      <alignment horizontal="right" wrapText="1"/>
    </xf>
    <xf numFmtId="10" fontId="0" fillId="0" borderId="23" xfId="0" applyNumberFormat="1" applyFill="1" applyBorder="1" applyAlignment="1">
      <alignment horizontal="right"/>
    </xf>
    <xf numFmtId="168" fontId="5" fillId="0" borderId="22" xfId="1" applyNumberFormat="1" applyFont="1" applyFill="1" applyBorder="1" applyAlignment="1">
      <alignment horizontal="right" wrapText="1"/>
    </xf>
    <xf numFmtId="3" fontId="0" fillId="0" borderId="23" xfId="0" applyNumberFormat="1" applyFill="1" applyBorder="1"/>
    <xf numFmtId="168" fontId="0" fillId="0" borderId="19" xfId="0" applyNumberFormat="1" applyFill="1" applyBorder="1"/>
    <xf numFmtId="9" fontId="6" fillId="0" borderId="0" xfId="9" applyFont="1" applyFill="1"/>
    <xf numFmtId="167" fontId="2" fillId="0" borderId="0" xfId="9" applyNumberFormat="1" applyFill="1"/>
    <xf numFmtId="167" fontId="2" fillId="0" borderId="0" xfId="10" applyNumberFormat="1" applyFill="1"/>
    <xf numFmtId="38" fontId="0" fillId="0" borderId="0" xfId="0" applyNumberFormat="1" applyBorder="1"/>
    <xf numFmtId="0" fontId="21" fillId="0" borderId="0" xfId="11" applyFont="1"/>
    <xf numFmtId="3" fontId="21" fillId="0" borderId="0" xfId="11" applyNumberFormat="1" applyFont="1"/>
    <xf numFmtId="167" fontId="21" fillId="0" borderId="0" xfId="11" applyNumberFormat="1" applyFont="1"/>
    <xf numFmtId="0" fontId="20" fillId="0" borderId="23" xfId="11" applyFont="1" applyBorder="1" applyAlignment="1">
      <alignment wrapText="1"/>
    </xf>
    <xf numFmtId="3" fontId="20" fillId="0" borderId="10" xfId="11" applyNumberFormat="1" applyFont="1" applyBorder="1" applyAlignment="1">
      <alignment horizontal="center" vertical="center" wrapText="1"/>
    </xf>
    <xf numFmtId="167" fontId="20" fillId="0" borderId="10" xfId="11" applyNumberFormat="1" applyFont="1" applyBorder="1" applyAlignment="1">
      <alignment horizontal="center" vertical="center" wrapText="1"/>
    </xf>
    <xf numFmtId="4" fontId="20" fillId="0" borderId="10" xfId="11" applyNumberFormat="1" applyFont="1" applyBorder="1" applyAlignment="1">
      <alignment horizontal="center" vertical="center" wrapText="1"/>
    </xf>
    <xf numFmtId="167" fontId="20" fillId="0" borderId="27" xfId="11" applyNumberFormat="1" applyFont="1" applyBorder="1" applyAlignment="1">
      <alignment horizontal="center" vertical="center" wrapText="1"/>
    </xf>
    <xf numFmtId="167" fontId="20" fillId="0" borderId="24" xfId="11" applyNumberFormat="1" applyFont="1" applyBorder="1" applyAlignment="1">
      <alignment horizontal="center" vertical="center" wrapText="1"/>
    </xf>
    <xf numFmtId="0" fontId="21" fillId="0" borderId="0" xfId="11" applyFont="1" applyAlignment="1">
      <alignment wrapText="1"/>
    </xf>
    <xf numFmtId="0" fontId="21" fillId="0" borderId="11" xfId="11" applyFont="1" applyBorder="1"/>
    <xf numFmtId="3" fontId="21" fillId="0" borderId="10" xfId="11" applyNumberFormat="1" applyFont="1" applyBorder="1"/>
    <xf numFmtId="167" fontId="21" fillId="0" borderId="10" xfId="11" applyNumberFormat="1" applyFont="1" applyBorder="1"/>
    <xf numFmtId="3" fontId="21" fillId="0" borderId="11" xfId="11" applyNumberFormat="1" applyFont="1" applyBorder="1"/>
    <xf numFmtId="171" fontId="21" fillId="0" borderId="28" xfId="12" applyNumberFormat="1" applyFont="1" applyBorder="1"/>
    <xf numFmtId="167" fontId="21" fillId="0" borderId="11" xfId="11" applyNumberFormat="1" applyFont="1" applyBorder="1"/>
    <xf numFmtId="171" fontId="21" fillId="0" borderId="17" xfId="12" applyNumberFormat="1" applyFont="1" applyBorder="1"/>
    <xf numFmtId="171" fontId="20" fillId="0" borderId="17" xfId="12" applyNumberFormat="1" applyFont="1" applyBorder="1"/>
    <xf numFmtId="0" fontId="20" fillId="0" borderId="11" xfId="11" applyFont="1" applyBorder="1"/>
    <xf numFmtId="3" fontId="20" fillId="0" borderId="11" xfId="11" applyNumberFormat="1" applyFont="1" applyBorder="1"/>
    <xf numFmtId="167" fontId="20" fillId="0" borderId="11" xfId="11" applyNumberFormat="1" applyFont="1" applyBorder="1"/>
    <xf numFmtId="0" fontId="20" fillId="0" borderId="12" xfId="11" applyFont="1" applyBorder="1"/>
    <xf numFmtId="3" fontId="20" fillId="0" borderId="12" xfId="11" applyNumberFormat="1" applyFont="1" applyBorder="1"/>
    <xf numFmtId="167" fontId="20" fillId="0" borderId="12" xfId="11" applyNumberFormat="1" applyFont="1" applyBorder="1"/>
    <xf numFmtId="171" fontId="20" fillId="0" borderId="29" xfId="12" applyNumberFormat="1" applyFont="1" applyBorder="1"/>
    <xf numFmtId="171" fontId="21" fillId="0" borderId="23" xfId="12" applyNumberFormat="1" applyFont="1" applyBorder="1"/>
    <xf numFmtId="0" fontId="22" fillId="0" borderId="10" xfId="13" applyFont="1" applyFill="1" applyBorder="1" applyAlignment="1">
      <alignment horizontal="center"/>
    </xf>
    <xf numFmtId="0" fontId="20" fillId="0" borderId="30" xfId="11" applyFont="1" applyBorder="1" applyAlignment="1">
      <alignment horizontal="center"/>
    </xf>
    <xf numFmtId="0" fontId="20" fillId="0" borderId="10" xfId="11" applyFont="1" applyBorder="1" applyAlignment="1">
      <alignment horizontal="center"/>
    </xf>
    <xf numFmtId="0" fontId="22" fillId="0" borderId="23" xfId="13" applyFont="1" applyFill="1" applyBorder="1" applyAlignment="1">
      <alignment horizontal="center"/>
    </xf>
    <xf numFmtId="0" fontId="23" fillId="0" borderId="23" xfId="14" applyFont="1" applyFill="1" applyBorder="1" applyAlignment="1">
      <alignment horizontal="center" wrapText="1"/>
    </xf>
    <xf numFmtId="0" fontId="22" fillId="0" borderId="31" xfId="13" applyFont="1" applyFill="1" applyBorder="1" applyAlignment="1">
      <alignment horizontal="center"/>
    </xf>
    <xf numFmtId="0" fontId="20" fillId="0" borderId="32" xfId="11" applyFont="1" applyBorder="1" applyAlignment="1">
      <alignment horizontal="center"/>
    </xf>
    <xf numFmtId="167" fontId="24" fillId="0" borderId="10" xfId="16" applyNumberFormat="1" applyFont="1" applyFill="1" applyBorder="1" applyAlignment="1">
      <alignment horizontal="right" wrapText="1"/>
    </xf>
    <xf numFmtId="168" fontId="21" fillId="0" borderId="0" xfId="17" applyNumberFormat="1" applyFont="1"/>
    <xf numFmtId="0" fontId="21" fillId="0" borderId="10" xfId="11" applyFont="1" applyBorder="1"/>
    <xf numFmtId="171" fontId="21" fillId="0" borderId="10" xfId="11" applyNumberFormat="1" applyFont="1" applyBorder="1"/>
    <xf numFmtId="0" fontId="24" fillId="0" borderId="11" xfId="15" applyFont="1" applyFill="1" applyBorder="1" applyAlignment="1">
      <alignment wrapText="1"/>
    </xf>
    <xf numFmtId="167" fontId="24" fillId="0" borderId="11" xfId="16" applyNumberFormat="1" applyFont="1" applyFill="1" applyBorder="1" applyAlignment="1">
      <alignment horizontal="right" wrapText="1"/>
    </xf>
    <xf numFmtId="171" fontId="21" fillId="0" borderId="11" xfId="11" applyNumberFormat="1" applyFont="1" applyBorder="1"/>
    <xf numFmtId="167" fontId="22" fillId="0" borderId="11" xfId="16" applyNumberFormat="1" applyFont="1" applyFill="1" applyBorder="1" applyAlignment="1">
      <alignment horizontal="right" wrapText="1"/>
    </xf>
    <xf numFmtId="168" fontId="20" fillId="0" borderId="0" xfId="17" applyNumberFormat="1" applyFont="1"/>
    <xf numFmtId="171" fontId="20" fillId="0" borderId="11" xfId="12" applyNumberFormat="1" applyFont="1" applyBorder="1"/>
    <xf numFmtId="0" fontId="22" fillId="0" borderId="11" xfId="15" applyFont="1" applyFill="1" applyBorder="1" applyAlignment="1">
      <alignment wrapText="1"/>
    </xf>
    <xf numFmtId="168" fontId="20" fillId="0" borderId="11" xfId="17" applyNumberFormat="1" applyFont="1" applyBorder="1"/>
    <xf numFmtId="171" fontId="21" fillId="0" borderId="11" xfId="12" applyNumberFormat="1" applyFont="1" applyBorder="1"/>
    <xf numFmtId="171" fontId="20" fillId="0" borderId="11" xfId="11" applyNumberFormat="1" applyFont="1" applyBorder="1"/>
    <xf numFmtId="0" fontId="22" fillId="0" borderId="31" xfId="15" applyFont="1" applyFill="1" applyBorder="1" applyAlignment="1">
      <alignment wrapText="1"/>
    </xf>
    <xf numFmtId="167" fontId="22" fillId="0" borderId="31" xfId="16" applyNumberFormat="1" applyFont="1" applyFill="1" applyBorder="1" applyAlignment="1">
      <alignment horizontal="right" wrapText="1"/>
    </xf>
    <xf numFmtId="168" fontId="21" fillId="0" borderId="31" xfId="17" applyNumberFormat="1" applyFont="1" applyBorder="1"/>
    <xf numFmtId="0" fontId="20" fillId="0" borderId="31" xfId="11" applyFont="1" applyBorder="1"/>
    <xf numFmtId="171" fontId="20" fillId="0" borderId="31" xfId="12" applyNumberFormat="1" applyFont="1" applyBorder="1"/>
    <xf numFmtId="0" fontId="24" fillId="0" borderId="10" xfId="15" applyFont="1" applyFill="1" applyBorder="1" applyAlignment="1">
      <alignment horizontal="left" wrapText="1"/>
    </xf>
    <xf numFmtId="0" fontId="24" fillId="0" borderId="11" xfId="15" applyFont="1" applyFill="1" applyBorder="1" applyAlignment="1">
      <alignment horizontal="left" wrapText="1"/>
    </xf>
    <xf numFmtId="0" fontId="22" fillId="0" borderId="11" xfId="18" applyFont="1" applyFill="1" applyBorder="1" applyAlignment="1">
      <alignment horizontal="left" wrapText="1"/>
    </xf>
    <xf numFmtId="0" fontId="24" fillId="0" borderId="11" xfId="15" applyFont="1" applyFill="1" applyBorder="1" applyAlignment="1">
      <alignment horizontal="left"/>
    </xf>
    <xf numFmtId="38" fontId="0" fillId="0" borderId="4" xfId="0" applyNumberFormat="1" applyFill="1" applyBorder="1"/>
    <xf numFmtId="167" fontId="0" fillId="0" borderId="0" xfId="9" applyNumberFormat="1" applyFont="1"/>
    <xf numFmtId="0" fontId="26" fillId="0" borderId="0" xfId="19" applyFont="1" applyAlignment="1">
      <alignment horizontal="left"/>
    </xf>
    <xf numFmtId="0" fontId="26" fillId="0" borderId="0" xfId="19" applyFont="1" applyFill="1" applyAlignment="1">
      <alignment horizontal="left"/>
    </xf>
    <xf numFmtId="0" fontId="25" fillId="0" borderId="0" xfId="19" applyAlignment="1">
      <alignment horizontal="centerContinuous"/>
    </xf>
    <xf numFmtId="0" fontId="25" fillId="0" borderId="0" xfId="19"/>
    <xf numFmtId="0" fontId="25" fillId="5" borderId="23" xfId="19" applyFill="1" applyBorder="1"/>
    <xf numFmtId="0" fontId="27" fillId="0" borderId="33" xfId="19" applyFont="1" applyFill="1" applyBorder="1" applyAlignment="1">
      <alignment horizontal="center"/>
    </xf>
    <xf numFmtId="0" fontId="25" fillId="0" borderId="33" xfId="19" applyBorder="1"/>
    <xf numFmtId="0" fontId="27" fillId="0" borderId="33" xfId="19" applyFont="1" applyBorder="1" applyAlignment="1">
      <alignment horizontal="center"/>
    </xf>
    <xf numFmtId="0" fontId="6" fillId="0" borderId="34" xfId="19" applyNumberFormat="1" applyFont="1" applyBorder="1" applyAlignment="1" applyProtection="1">
      <alignment horizontal="left"/>
      <protection locked="0"/>
    </xf>
    <xf numFmtId="3" fontId="6" fillId="10" borderId="34" xfId="19" quotePrefix="1" applyNumberFormat="1" applyFont="1" applyFill="1" applyBorder="1" applyAlignment="1" applyProtection="1">
      <alignment horizontal="center" vertical="center" wrapText="1"/>
      <protection locked="0"/>
    </xf>
    <xf numFmtId="3" fontId="6" fillId="11" borderId="34" xfId="19" quotePrefix="1" applyNumberFormat="1" applyFont="1" applyFill="1" applyBorder="1" applyAlignment="1" applyProtection="1">
      <alignment horizontal="center" vertical="center" wrapText="1"/>
      <protection locked="0"/>
    </xf>
    <xf numFmtId="3" fontId="6" fillId="0" borderId="34" xfId="19" applyNumberFormat="1" applyFont="1" applyFill="1" applyBorder="1" applyAlignment="1" applyProtection="1">
      <alignment horizontal="center" vertical="center" wrapText="1"/>
      <protection locked="0"/>
    </xf>
    <xf numFmtId="3" fontId="6" fillId="11" borderId="34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19" applyFont="1" applyBorder="1" applyAlignment="1" applyProtection="1">
      <alignment horizontal="center" vertical="center" wrapText="1"/>
      <protection locked="0"/>
    </xf>
    <xf numFmtId="0" fontId="6" fillId="10" borderId="34" xfId="19" applyFont="1" applyFill="1" applyBorder="1" applyAlignment="1" applyProtection="1">
      <alignment horizontal="center" vertical="center" wrapText="1"/>
      <protection locked="0"/>
    </xf>
    <xf numFmtId="0" fontId="6" fillId="11" borderId="34" xfId="19" applyFont="1" applyFill="1" applyBorder="1" applyAlignment="1" applyProtection="1">
      <alignment horizontal="center" vertical="center" wrapText="1"/>
      <protection locked="0"/>
    </xf>
    <xf numFmtId="3" fontId="6" fillId="0" borderId="35" xfId="19" applyNumberFormat="1" applyFont="1" applyBorder="1" applyAlignment="1" applyProtection="1">
      <alignment horizontal="center" vertical="center" wrapText="1"/>
      <protection locked="0"/>
    </xf>
    <xf numFmtId="0" fontId="2" fillId="0" borderId="0" xfId="19" applyFont="1" applyAlignment="1" applyProtection="1">
      <alignment horizontal="right"/>
      <protection locked="0"/>
    </xf>
    <xf numFmtId="0" fontId="5" fillId="0" borderId="23" xfId="20" applyFont="1" applyFill="1" applyBorder="1" applyAlignment="1">
      <alignment wrapText="1"/>
    </xf>
    <xf numFmtId="3" fontId="2" fillId="10" borderId="36" xfId="19" quotePrefix="1" applyNumberFormat="1" applyFont="1" applyFill="1" applyBorder="1" applyProtection="1">
      <protection locked="0"/>
    </xf>
    <xf numFmtId="3" fontId="2" fillId="11" borderId="36" xfId="19" quotePrefix="1" applyNumberFormat="1" applyFont="1" applyFill="1" applyBorder="1" applyProtection="1">
      <protection locked="0"/>
    </xf>
    <xf numFmtId="3" fontId="2" fillId="0" borderId="36" xfId="19" quotePrefix="1" applyNumberFormat="1" applyFont="1" applyFill="1" applyBorder="1" applyProtection="1">
      <protection locked="0"/>
    </xf>
    <xf numFmtId="3" fontId="2" fillId="0" borderId="17" xfId="19" quotePrefix="1" applyNumberFormat="1" applyFont="1" applyFill="1" applyBorder="1" applyProtection="1">
      <protection locked="0"/>
    </xf>
    <xf numFmtId="3" fontId="2" fillId="11" borderId="17" xfId="19" quotePrefix="1" applyNumberFormat="1" applyFont="1" applyFill="1" applyBorder="1" applyProtection="1">
      <protection locked="0"/>
    </xf>
    <xf numFmtId="3" fontId="2" fillId="0" borderId="37" xfId="19" applyNumberFormat="1" applyFont="1" applyFill="1" applyBorder="1" applyProtection="1">
      <protection locked="0"/>
    </xf>
    <xf numFmtId="167" fontId="2" fillId="0" borderId="38" xfId="21" applyNumberFormat="1" applyFont="1" applyBorder="1" applyProtection="1">
      <protection locked="0"/>
    </xf>
    <xf numFmtId="1" fontId="2" fillId="10" borderId="31" xfId="19" applyNumberFormat="1" applyFont="1" applyFill="1" applyBorder="1" applyProtection="1">
      <protection locked="0"/>
    </xf>
    <xf numFmtId="1" fontId="2" fillId="11" borderId="31" xfId="19" applyNumberFormat="1" applyFont="1" applyFill="1" applyBorder="1" applyProtection="1">
      <protection locked="0"/>
    </xf>
    <xf numFmtId="3" fontId="2" fillId="10" borderId="31" xfId="19" applyNumberFormat="1" applyFont="1" applyFill="1" applyBorder="1" applyProtection="1">
      <protection locked="0"/>
    </xf>
    <xf numFmtId="167" fontId="2" fillId="0" borderId="23" xfId="21" applyNumberFormat="1" applyFont="1" applyBorder="1" applyProtection="1">
      <protection locked="0"/>
    </xf>
    <xf numFmtId="0" fontId="2" fillId="0" borderId="0" xfId="19" applyFont="1" applyProtection="1">
      <protection locked="0"/>
    </xf>
    <xf numFmtId="0" fontId="2" fillId="0" borderId="39" xfId="19" quotePrefix="1" applyNumberFormat="1" applyFont="1" applyBorder="1" applyProtection="1">
      <protection locked="0"/>
    </xf>
    <xf numFmtId="3" fontId="2" fillId="0" borderId="29" xfId="19" quotePrefix="1" applyNumberFormat="1" applyFont="1" applyFill="1" applyBorder="1" applyProtection="1">
      <protection locked="0"/>
    </xf>
    <xf numFmtId="3" fontId="2" fillId="11" borderId="29" xfId="19" quotePrefix="1" applyNumberFormat="1" applyFont="1" applyFill="1" applyBorder="1" applyProtection="1">
      <protection locked="0"/>
    </xf>
    <xf numFmtId="3" fontId="2" fillId="0" borderId="23" xfId="19" applyNumberFormat="1" applyFont="1" applyFill="1" applyBorder="1" applyProtection="1">
      <protection locked="0"/>
    </xf>
    <xf numFmtId="1" fontId="2" fillId="10" borderId="23" xfId="19" applyNumberFormat="1" applyFont="1" applyFill="1" applyBorder="1" applyProtection="1">
      <protection locked="0"/>
    </xf>
    <xf numFmtId="168" fontId="2" fillId="11" borderId="23" xfId="22" applyNumberFormat="1" applyFont="1" applyFill="1" applyBorder="1" applyProtection="1">
      <protection locked="0"/>
    </xf>
    <xf numFmtId="3" fontId="2" fillId="10" borderId="23" xfId="19" applyNumberFormat="1" applyFont="1" applyFill="1" applyBorder="1" applyProtection="1">
      <protection locked="0"/>
    </xf>
    <xf numFmtId="0" fontId="2" fillId="0" borderId="39" xfId="19" quotePrefix="1" applyNumberFormat="1" applyFont="1" applyBorder="1" applyAlignment="1" applyProtection="1">
      <alignment horizontal="left"/>
      <protection locked="0"/>
    </xf>
    <xf numFmtId="0" fontId="6" fillId="0" borderId="40" xfId="19" applyNumberFormat="1" applyFont="1" applyBorder="1" applyProtection="1">
      <protection locked="0"/>
    </xf>
    <xf numFmtId="3" fontId="6" fillId="10" borderId="23" xfId="19" quotePrefix="1" applyNumberFormat="1" applyFont="1" applyFill="1" applyBorder="1" applyProtection="1">
      <protection locked="0"/>
    </xf>
    <xf numFmtId="3" fontId="6" fillId="11" borderId="23" xfId="19" quotePrefix="1" applyNumberFormat="1" applyFont="1" applyFill="1" applyBorder="1" applyProtection="1">
      <protection locked="0"/>
    </xf>
    <xf numFmtId="3" fontId="6" fillId="0" borderId="23" xfId="19" quotePrefix="1" applyNumberFormat="1" applyFont="1" applyFill="1" applyBorder="1" applyProtection="1">
      <protection locked="0"/>
    </xf>
    <xf numFmtId="3" fontId="6" fillId="0" borderId="23" xfId="19" applyNumberFormat="1" applyFont="1" applyFill="1" applyBorder="1" applyProtection="1">
      <protection locked="0"/>
    </xf>
    <xf numFmtId="167" fontId="6" fillId="0" borderId="23" xfId="21" quotePrefix="1" applyNumberFormat="1" applyFont="1" applyBorder="1" applyProtection="1">
      <protection locked="0"/>
    </xf>
    <xf numFmtId="1" fontId="6" fillId="10" borderId="23" xfId="19" applyNumberFormat="1" applyFont="1" applyFill="1" applyBorder="1" applyProtection="1">
      <protection locked="0"/>
    </xf>
    <xf numFmtId="168" fontId="6" fillId="11" borderId="23" xfId="22" applyNumberFormat="1" applyFont="1" applyFill="1" applyBorder="1" applyProtection="1">
      <protection locked="0"/>
    </xf>
    <xf numFmtId="3" fontId="6" fillId="10" borderId="23" xfId="19" applyNumberFormat="1" applyFont="1" applyFill="1" applyBorder="1" applyProtection="1">
      <protection locked="0"/>
    </xf>
    <xf numFmtId="0" fontId="2" fillId="0" borderId="39" xfId="19" applyNumberFormat="1" applyFont="1" applyBorder="1" applyAlignment="1" applyProtection="1">
      <alignment horizontal="left" indent="2"/>
      <protection locked="0"/>
    </xf>
    <xf numFmtId="0" fontId="2" fillId="0" borderId="41" xfId="19" quotePrefix="1" applyNumberFormat="1" applyFont="1" applyBorder="1" applyProtection="1">
      <protection locked="0"/>
    </xf>
    <xf numFmtId="167" fontId="2" fillId="0" borderId="33" xfId="21" applyNumberFormat="1" applyFont="1" applyBorder="1" applyProtection="1">
      <protection locked="0"/>
    </xf>
    <xf numFmtId="1" fontId="2" fillId="11" borderId="23" xfId="19" applyNumberFormat="1" applyFont="1" applyFill="1" applyBorder="1" applyProtection="1">
      <protection locked="0"/>
    </xf>
    <xf numFmtId="0" fontId="6" fillId="0" borderId="42" xfId="19" applyNumberFormat="1" applyFont="1" applyBorder="1" applyProtection="1">
      <protection locked="0"/>
    </xf>
    <xf numFmtId="3" fontId="6" fillId="10" borderId="43" xfId="19" applyNumberFormat="1" applyFont="1" applyFill="1" applyBorder="1" applyProtection="1">
      <protection locked="0"/>
    </xf>
    <xf numFmtId="3" fontId="6" fillId="11" borderId="43" xfId="19" applyNumberFormat="1" applyFont="1" applyFill="1" applyBorder="1" applyProtection="1">
      <protection locked="0"/>
    </xf>
    <xf numFmtId="3" fontId="6" fillId="0" borderId="43" xfId="19" applyNumberFormat="1" applyFont="1" applyFill="1" applyBorder="1" applyProtection="1">
      <protection locked="0"/>
    </xf>
    <xf numFmtId="167" fontId="6" fillId="0" borderId="44" xfId="21" applyNumberFormat="1" applyFont="1" applyBorder="1" applyProtection="1">
      <protection locked="0"/>
    </xf>
    <xf numFmtId="0" fontId="6" fillId="0" borderId="0" xfId="19" applyFont="1" applyProtection="1">
      <protection locked="0"/>
    </xf>
    <xf numFmtId="0" fontId="6" fillId="0" borderId="0" xfId="19" applyNumberFormat="1" applyFont="1" applyBorder="1" applyProtection="1">
      <protection locked="0"/>
    </xf>
    <xf numFmtId="3" fontId="2" fillId="0" borderId="0" xfId="19" applyNumberFormat="1" applyFont="1" applyBorder="1" applyProtection="1">
      <protection locked="0"/>
    </xf>
    <xf numFmtId="3" fontId="2" fillId="0" borderId="0" xfId="19" applyNumberFormat="1" applyFont="1" applyFill="1" applyBorder="1" applyProtection="1">
      <protection locked="0"/>
    </xf>
    <xf numFmtId="0" fontId="2" fillId="0" borderId="0" xfId="19" applyFont="1" applyFill="1" applyProtection="1">
      <protection locked="0"/>
    </xf>
    <xf numFmtId="167" fontId="2" fillId="0" borderId="0" xfId="21" applyNumberFormat="1" applyFont="1" applyProtection="1">
      <protection locked="0"/>
    </xf>
    <xf numFmtId="0" fontId="6" fillId="0" borderId="34" xfId="19" applyNumberFormat="1" applyFont="1" applyBorder="1" applyProtection="1">
      <protection locked="0"/>
    </xf>
    <xf numFmtId="3" fontId="2" fillId="0" borderId="45" xfId="19" quotePrefix="1" applyNumberFormat="1" applyFont="1" applyBorder="1" applyProtection="1">
      <protection locked="0"/>
    </xf>
    <xf numFmtId="3" fontId="2" fillId="0" borderId="45" xfId="19" quotePrefix="1" applyNumberFormat="1" applyFont="1" applyFill="1" applyBorder="1" applyProtection="1">
      <protection locked="0"/>
    </xf>
    <xf numFmtId="3" fontId="2" fillId="0" borderId="0" xfId="19" quotePrefix="1" applyNumberFormat="1" applyFont="1" applyFill="1" applyBorder="1" applyProtection="1">
      <protection locked="0"/>
    </xf>
    <xf numFmtId="0" fontId="2" fillId="0" borderId="0" xfId="19" applyFont="1" applyFill="1" applyBorder="1" applyProtection="1">
      <protection locked="0"/>
    </xf>
    <xf numFmtId="0" fontId="2" fillId="0" borderId="0" xfId="19" applyFont="1" applyBorder="1" applyProtection="1">
      <protection locked="0"/>
    </xf>
    <xf numFmtId="0" fontId="2" fillId="0" borderId="36" xfId="19" quotePrefix="1" applyNumberFormat="1" applyFont="1" applyBorder="1" applyProtection="1">
      <protection locked="0"/>
    </xf>
    <xf numFmtId="3" fontId="2" fillId="0" borderId="38" xfId="19" quotePrefix="1" applyNumberFormat="1" applyFont="1" applyFill="1" applyBorder="1" applyProtection="1">
      <protection locked="0"/>
    </xf>
    <xf numFmtId="3" fontId="2" fillId="11" borderId="38" xfId="19" quotePrefix="1" applyNumberFormat="1" applyFont="1" applyFill="1" applyBorder="1" applyProtection="1">
      <protection locked="0"/>
    </xf>
    <xf numFmtId="3" fontId="2" fillId="0" borderId="38" xfId="19" applyNumberFormat="1" applyFont="1" applyFill="1" applyBorder="1" applyProtection="1">
      <protection locked="0"/>
    </xf>
    <xf numFmtId="167" fontId="2" fillId="0" borderId="10" xfId="21" applyNumberFormat="1" applyFont="1" applyBorder="1" applyProtection="1">
      <protection locked="0"/>
    </xf>
    <xf numFmtId="3" fontId="6" fillId="12" borderId="43" xfId="19" applyNumberFormat="1" applyFont="1" applyFill="1" applyBorder="1" applyProtection="1">
      <protection locked="0"/>
    </xf>
    <xf numFmtId="0" fontId="6" fillId="0" borderId="46" xfId="19" applyNumberFormat="1" applyFont="1" applyBorder="1" applyProtection="1">
      <protection locked="0"/>
    </xf>
    <xf numFmtId="3" fontId="6" fillId="10" borderId="46" xfId="19" applyNumberFormat="1" applyFont="1" applyFill="1" applyBorder="1" applyProtection="1">
      <protection locked="0"/>
    </xf>
    <xf numFmtId="3" fontId="6" fillId="11" borderId="46" xfId="19" applyNumberFormat="1" applyFont="1" applyFill="1" applyBorder="1" applyProtection="1">
      <protection locked="0"/>
    </xf>
    <xf numFmtId="3" fontId="6" fillId="0" borderId="46" xfId="19" applyNumberFormat="1" applyFont="1" applyFill="1" applyBorder="1" applyProtection="1">
      <protection locked="0"/>
    </xf>
    <xf numFmtId="167" fontId="6" fillId="0" borderId="46" xfId="21" applyNumberFormat="1" applyFont="1" applyBorder="1" applyProtection="1">
      <protection locked="0"/>
    </xf>
    <xf numFmtId="0" fontId="6" fillId="0" borderId="47" xfId="19" applyFont="1" applyBorder="1"/>
    <xf numFmtId="0" fontId="25" fillId="0" borderId="48" xfId="19" applyBorder="1"/>
    <xf numFmtId="0" fontId="25" fillId="0" borderId="49" xfId="19" applyBorder="1"/>
    <xf numFmtId="0" fontId="25" fillId="0" borderId="50" xfId="19" applyFill="1" applyBorder="1"/>
    <xf numFmtId="0" fontId="25" fillId="0" borderId="50" xfId="19" applyBorder="1"/>
    <xf numFmtId="1" fontId="2" fillId="0" borderId="31" xfId="19" applyNumberFormat="1" applyFont="1" applyBorder="1" applyProtection="1">
      <protection locked="0"/>
    </xf>
    <xf numFmtId="1" fontId="2" fillId="0" borderId="0" xfId="19" applyNumberFormat="1" applyFont="1" applyBorder="1" applyProtection="1">
      <protection locked="0"/>
    </xf>
    <xf numFmtId="0" fontId="25" fillId="0" borderId="0" xfId="19" applyFill="1"/>
    <xf numFmtId="3" fontId="25" fillId="0" borderId="0" xfId="19" applyNumberFormat="1"/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8" fontId="2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9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4" borderId="0" xfId="1" applyFont="1" applyFill="1"/>
    <xf numFmtId="168" fontId="5" fillId="0" borderId="8" xfId="1" applyNumberFormat="1" applyFont="1" applyFill="1" applyBorder="1" applyAlignment="1">
      <alignment horizontal="right" wrapText="1"/>
    </xf>
    <xf numFmtId="10" fontId="21" fillId="0" borderId="0" xfId="11" applyNumberFormat="1" applyFont="1"/>
    <xf numFmtId="10" fontId="21" fillId="0" borderId="11" xfId="11" applyNumberFormat="1" applyFont="1" applyBorder="1"/>
    <xf numFmtId="10" fontId="0" fillId="0" borderId="0" xfId="0" applyNumberFormat="1" applyFill="1" applyBorder="1"/>
    <xf numFmtId="0" fontId="21" fillId="0" borderId="0" xfId="11" applyFont="1" applyBorder="1"/>
    <xf numFmtId="167" fontId="21" fillId="0" borderId="0" xfId="11" applyNumberFormat="1" applyFont="1" applyBorder="1"/>
    <xf numFmtId="3" fontId="2" fillId="6" borderId="19" xfId="1" applyNumberFormat="1" applyFont="1" applyFill="1" applyBorder="1"/>
    <xf numFmtId="168" fontId="0" fillId="9" borderId="0" xfId="1" applyNumberFormat="1" applyFont="1" applyFill="1"/>
    <xf numFmtId="167" fontId="7" fillId="0" borderId="0" xfId="9" applyNumberFormat="1" applyFont="1" applyFill="1" applyBorder="1" applyAlignment="1">
      <alignment horizontal="center"/>
    </xf>
    <xf numFmtId="38" fontId="0" fillId="5" borderId="0" xfId="0" applyNumberFormat="1" applyFill="1"/>
    <xf numFmtId="10" fontId="2" fillId="0" borderId="23" xfId="10" applyNumberFormat="1" applyFill="1" applyBorder="1" applyAlignment="1">
      <alignment horizontal="right"/>
    </xf>
    <xf numFmtId="0" fontId="6" fillId="12" borderId="19" xfId="0" applyFont="1" applyFill="1" applyBorder="1" applyAlignment="1">
      <alignment horizontal="center" wrapText="1"/>
    </xf>
    <xf numFmtId="0" fontId="0" fillId="12" borderId="0" xfId="0" applyFill="1"/>
    <xf numFmtId="168" fontId="2" fillId="13" borderId="19" xfId="1" applyNumberFormat="1" applyFont="1" applyFill="1" applyBorder="1"/>
    <xf numFmtId="168" fontId="2" fillId="12" borderId="19" xfId="1" applyNumberFormat="1" applyFont="1" applyFill="1" applyBorder="1"/>
    <xf numFmtId="0" fontId="6" fillId="14" borderId="19" xfId="0" applyFont="1" applyFill="1" applyBorder="1" applyAlignment="1">
      <alignment horizontal="center" wrapText="1"/>
    </xf>
    <xf numFmtId="0" fontId="0" fillId="14" borderId="0" xfId="0" applyFill="1"/>
    <xf numFmtId="168" fontId="2" fillId="15" borderId="19" xfId="1" applyNumberFormat="1" applyFont="1" applyFill="1" applyBorder="1"/>
    <xf numFmtId="168" fontId="2" fillId="14" borderId="19" xfId="1" applyNumberFormat="1" applyFont="1" applyFill="1" applyBorder="1"/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19" applyFont="1" applyAlignment="1">
      <alignment horizontal="left"/>
    </xf>
    <xf numFmtId="0" fontId="6" fillId="0" borderId="0" xfId="19" applyFont="1" applyFill="1" applyAlignment="1" applyProtection="1">
      <alignment horizontal="left"/>
      <protection locked="0"/>
    </xf>
    <xf numFmtId="0" fontId="6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20" fillId="0" borderId="0" xfId="11" applyFont="1" applyAlignment="1">
      <alignment horizontal="center"/>
    </xf>
    <xf numFmtId="0" fontId="20" fillId="0" borderId="0" xfId="11" applyFont="1" applyBorder="1" applyAlignment="1">
      <alignment horizontal="center"/>
    </xf>
  </cellXfs>
  <cellStyles count="23">
    <cellStyle name="Comma" xfId="1" builtinId="3"/>
    <cellStyle name="Comma 2" xfId="17"/>
    <cellStyle name="Comma 3" xfId="22"/>
    <cellStyle name="Currency" xfId="2" builtinId="4"/>
    <cellStyle name="Currency 2" xfId="12"/>
    <cellStyle name="Normal" xfId="0" builtinId="0"/>
    <cellStyle name="Normal 2" xfId="10"/>
    <cellStyle name="Normal 3" xfId="11"/>
    <cellStyle name="Normal 4" xfId="19"/>
    <cellStyle name="Normal_Academic Support Per FYE" xfId="3"/>
    <cellStyle name="Normal_Denominator" xfId="14"/>
    <cellStyle name="Normal_FY2006 Detail" xfId="4"/>
    <cellStyle name="Normal_INSTRUCTION" xfId="5"/>
    <cellStyle name="Normal_Revenue Offset" xfId="6"/>
    <cellStyle name="Normal_Sheet1" xfId="7"/>
    <cellStyle name="Normal_Sheet1 2" xfId="13"/>
    <cellStyle name="Normal_Sheet1 3" xfId="20"/>
    <cellStyle name="Normal_Sheet2" xfId="8"/>
    <cellStyle name="Normal_Sheet2 2" xfId="18"/>
    <cellStyle name="Normal_Sheet3" xfId="15"/>
    <cellStyle name="Percent" xfId="9" builtinId="5"/>
    <cellStyle name="Percent 2" xfId="16"/>
    <cellStyle name="Percent 3" xfId="2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6%20meetings/Analysis/Student%20and%20Institutional/Summary%20of%20FY2017%20Institutional%20Allocations%20FOR%20ANALYSIS%20ONE%20YE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6%20meetings/Analysis/Student%20and%20Institutional/Access%20Opportunity%20%20Success%20Allocation-Weighting%20Analysis%20D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6%20meetings/Analysis/Library%20analysis/FY2017%20Institutional%20Allocations%20Library%20analysis%20With%20Research%20and%20Public%20Service%20Expens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7%20meetings/Analysis/Transition/FY2017%20Institutional%20Allocations%20for%20analysis%20all%20recs%20except%20student%20success_0928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6%20meetings/Analysis/Revenue%20Buydown/Summary%20of%20FY2017%20Institutional%20Allocations%20for%20revenue%20bu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f2"/>
      <sheetName val="Alloc Differ 1"/>
      <sheetName val="FY15 Detail"/>
      <sheetName val="Instruction"/>
      <sheetName val="Academic Support Per FYE"/>
      <sheetName val="Facilities"/>
      <sheetName val="Student &amp; Institutional Support"/>
      <sheetName val="Library"/>
      <sheetName val="Research"/>
      <sheetName val="Enrollment"/>
      <sheetName val="Enrollment Detail"/>
      <sheetName val="Revenue Offset"/>
    </sheetNames>
    <sheetDataSet>
      <sheetData sheetId="0">
        <row r="40">
          <cell r="B40" t="str">
            <v>MnSCU Finance Division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7 Allocation_Final"/>
      <sheetName val="FY 2016 Allocation_Final"/>
      <sheetName val="interactive weight"/>
      <sheetName val="interactive weight updated"/>
      <sheetName val="Weighted differ cu"/>
      <sheetName val="Sheet1"/>
      <sheetName val="Weighted differ concurrent"/>
    </sheetNames>
    <sheetDataSet>
      <sheetData sheetId="0"/>
      <sheetData sheetId="1"/>
      <sheetData sheetId="2"/>
      <sheetData sheetId="3">
        <row r="48">
          <cell r="I48">
            <v>280140.79999999999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Detail without EA"/>
      <sheetName val="Detail without libraries"/>
      <sheetName val="Alloc Diff2"/>
      <sheetName val="Allocation Differences 1"/>
      <sheetName val="FY15 Detail"/>
      <sheetName val="Instruction"/>
      <sheetName val="Academic Support Per FYE"/>
      <sheetName val="Facilities"/>
      <sheetName val="Student &amp; Institutional Support"/>
      <sheetName val="Library"/>
      <sheetName val="Research"/>
      <sheetName val="Enrollment"/>
      <sheetName val="Enrollment Detail"/>
      <sheetName val="Revenue Offset"/>
    </sheetNames>
    <sheetDataSet>
      <sheetData sheetId="0">
        <row r="40">
          <cell r="B40" t="str">
            <v>MnSCU Finance Division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 (2)"/>
      <sheetName val="Alloc Dif"/>
      <sheetName val="FY15 Detail"/>
      <sheetName val="Instruction"/>
      <sheetName val="Academic Support Per FYE"/>
      <sheetName val="Student Success"/>
      <sheetName val="Student &amp; Institutional Sup (2"/>
      <sheetName val="Student &amp; Institutional Support"/>
      <sheetName val="Facilities"/>
      <sheetName val="Library"/>
      <sheetName val="Research"/>
      <sheetName val="Enrollment"/>
      <sheetName val="Enrollment Detail"/>
      <sheetName val="Revenue Offset"/>
      <sheetName val="Research (2)"/>
      <sheetName val="Revenue Offse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G40">
            <v>0.58953142624222721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TAC 3"/>
      <sheetName val="Sheet1"/>
      <sheetName val="FY15 Detail"/>
      <sheetName val="Instruction"/>
      <sheetName val="Academic Support Per FYE"/>
      <sheetName val="Facilities"/>
      <sheetName val="Student &amp; Institutional Support"/>
      <sheetName val="Library"/>
      <sheetName val="Research"/>
      <sheetName val="Enrollment"/>
      <sheetName val="Enrollment Detail"/>
      <sheetName val="Revenue Offset"/>
    </sheetNames>
    <sheetDataSet>
      <sheetData sheetId="0">
        <row r="40">
          <cell r="B40" t="str">
            <v>MnSCU Finance Division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0"/>
  <sheetViews>
    <sheetView zoomScale="80" workbookViewId="0">
      <pane xSplit="3" ySplit="5" topLeftCell="D6" activePane="bottomRight" state="frozen"/>
      <selection activeCell="F2" sqref="F2"/>
      <selection pane="topRight" activeCell="F2" sqref="F2"/>
      <selection pane="bottomLeft" activeCell="F2" sqref="F2"/>
      <selection pane="bottomRight" activeCell="B41" sqref="B41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56" customWidth="1"/>
  </cols>
  <sheetData>
    <row r="1" spans="1:4" s="15" customFormat="1" ht="15.75" x14ac:dyDescent="0.25">
      <c r="A1" s="21"/>
      <c r="B1" s="40"/>
      <c r="D1" s="179"/>
    </row>
    <row r="2" spans="1:4" s="15" customFormat="1" ht="24.75" customHeight="1" x14ac:dyDescent="0.2">
      <c r="A2" s="21"/>
      <c r="B2" s="21"/>
      <c r="C2" s="21"/>
      <c r="D2" s="93"/>
    </row>
    <row r="3" spans="1:4" s="15" customFormat="1" x14ac:dyDescent="0.2">
      <c r="A3" s="30"/>
      <c r="B3" s="19"/>
      <c r="C3" s="19"/>
      <c r="D3" s="180"/>
    </row>
    <row r="4" spans="1:4" ht="92.25" customHeight="1" x14ac:dyDescent="0.2">
      <c r="B4" s="1" t="s">
        <v>0</v>
      </c>
      <c r="C4" s="1" t="s">
        <v>1</v>
      </c>
      <c r="D4" s="181" t="s">
        <v>194</v>
      </c>
    </row>
    <row r="5" spans="1:4" x14ac:dyDescent="0.2">
      <c r="B5" s="2"/>
      <c r="C5" s="2"/>
      <c r="D5" s="182"/>
    </row>
    <row r="6" spans="1:4" x14ac:dyDescent="0.2">
      <c r="A6">
        <v>1</v>
      </c>
      <c r="B6" s="10" t="s">
        <v>2</v>
      </c>
      <c r="C6" s="3" t="s">
        <v>3</v>
      </c>
      <c r="D6" s="183">
        <v>1993</v>
      </c>
    </row>
    <row r="7" spans="1:4" s="56" customFormat="1" x14ac:dyDescent="0.2">
      <c r="A7" s="56">
        <v>2</v>
      </c>
      <c r="B7" s="10" t="s">
        <v>4</v>
      </c>
      <c r="C7" s="3" t="s">
        <v>129</v>
      </c>
      <c r="D7" s="183">
        <v>7071</v>
      </c>
    </row>
    <row r="8" spans="1:4" ht="12" customHeight="1" x14ac:dyDescent="0.2">
      <c r="A8">
        <v>4</v>
      </c>
      <c r="B8" s="10" t="s">
        <v>5</v>
      </c>
      <c r="C8" s="3" t="s">
        <v>118</v>
      </c>
      <c r="D8" s="183">
        <f>4295+648</f>
        <v>4943</v>
      </c>
    </row>
    <row r="9" spans="1:4" x14ac:dyDescent="0.2">
      <c r="A9">
        <v>3</v>
      </c>
      <c r="B9" s="38" t="s">
        <v>6</v>
      </c>
      <c r="C9" s="3" t="s">
        <v>7</v>
      </c>
      <c r="D9" s="183">
        <v>2710</v>
      </c>
    </row>
    <row r="10" spans="1:4" x14ac:dyDescent="0.2">
      <c r="A10">
        <v>3</v>
      </c>
      <c r="B10" s="38" t="s">
        <v>8</v>
      </c>
      <c r="C10" s="3" t="s">
        <v>9</v>
      </c>
      <c r="D10" s="183">
        <v>6204</v>
      </c>
    </row>
    <row r="11" spans="1:4" x14ac:dyDescent="0.2">
      <c r="A11">
        <v>1</v>
      </c>
      <c r="B11" s="38" t="s">
        <v>10</v>
      </c>
      <c r="C11" s="3" t="s">
        <v>11</v>
      </c>
      <c r="D11" s="183">
        <f>2004+3550</f>
        <v>5554</v>
      </c>
    </row>
    <row r="12" spans="1:4" x14ac:dyDescent="0.2">
      <c r="A12">
        <v>2</v>
      </c>
      <c r="B12" s="38" t="s">
        <v>12</v>
      </c>
      <c r="C12" s="3" t="s">
        <v>13</v>
      </c>
      <c r="D12" s="183">
        <v>1188</v>
      </c>
    </row>
    <row r="13" spans="1:4" x14ac:dyDescent="0.2">
      <c r="A13">
        <v>1</v>
      </c>
      <c r="B13" s="38" t="s">
        <v>14</v>
      </c>
      <c r="C13" s="3" t="s">
        <v>15</v>
      </c>
      <c r="D13" s="183">
        <v>3739</v>
      </c>
    </row>
    <row r="14" spans="1:4" x14ac:dyDescent="0.2">
      <c r="A14">
        <v>3</v>
      </c>
      <c r="B14" s="38" t="s">
        <v>16</v>
      </c>
      <c r="C14" s="3" t="s">
        <v>17</v>
      </c>
      <c r="D14" s="183">
        <v>3292</v>
      </c>
    </row>
    <row r="15" spans="1:4" x14ac:dyDescent="0.2">
      <c r="A15">
        <v>4</v>
      </c>
      <c r="B15" s="38" t="s">
        <v>18</v>
      </c>
      <c r="C15" s="3" t="s">
        <v>68</v>
      </c>
      <c r="D15" s="183">
        <v>6102</v>
      </c>
    </row>
    <row r="16" spans="1:4" x14ac:dyDescent="0.2">
      <c r="A16">
        <v>3</v>
      </c>
      <c r="B16" s="38" t="s">
        <v>19</v>
      </c>
      <c r="C16" s="3" t="s">
        <v>20</v>
      </c>
      <c r="D16" s="183">
        <v>5658</v>
      </c>
    </row>
    <row r="17" spans="1:4" ht="12" customHeight="1" x14ac:dyDescent="0.2">
      <c r="A17">
        <v>1</v>
      </c>
      <c r="B17" s="38" t="s">
        <v>21</v>
      </c>
      <c r="C17" s="3" t="s">
        <v>71</v>
      </c>
      <c r="D17" s="183">
        <v>1316</v>
      </c>
    </row>
    <row r="18" spans="1:4" ht="12" customHeight="1" x14ac:dyDescent="0.2">
      <c r="B18" s="38" t="s">
        <v>114</v>
      </c>
      <c r="C18" s="3" t="s">
        <v>117</v>
      </c>
      <c r="D18" s="183">
        <v>4319</v>
      </c>
    </row>
    <row r="19" spans="1:4" x14ac:dyDescent="0.2">
      <c r="A19">
        <v>4</v>
      </c>
      <c r="B19" s="38" t="s">
        <v>26</v>
      </c>
      <c r="C19" s="3" t="s">
        <v>62</v>
      </c>
      <c r="D19" s="183">
        <v>5316</v>
      </c>
    </row>
    <row r="20" spans="1:4" x14ac:dyDescent="0.2">
      <c r="A20">
        <v>4</v>
      </c>
      <c r="B20" s="38" t="s">
        <v>22</v>
      </c>
      <c r="C20" s="3" t="s">
        <v>23</v>
      </c>
      <c r="D20" s="183">
        <v>13752</v>
      </c>
    </row>
    <row r="21" spans="1:4" x14ac:dyDescent="0.2">
      <c r="A21">
        <v>3</v>
      </c>
      <c r="B21" s="38" t="s">
        <v>24</v>
      </c>
      <c r="C21" s="3" t="s">
        <v>25</v>
      </c>
      <c r="D21" s="183">
        <v>1858</v>
      </c>
    </row>
    <row r="22" spans="1:4" x14ac:dyDescent="0.2">
      <c r="A22">
        <v>2</v>
      </c>
      <c r="B22" s="38" t="s">
        <v>27</v>
      </c>
      <c r="C22" s="3" t="s">
        <v>28</v>
      </c>
      <c r="D22" s="183">
        <v>6837</v>
      </c>
    </row>
    <row r="23" spans="1:4" x14ac:dyDescent="0.2">
      <c r="A23">
        <v>2</v>
      </c>
      <c r="B23" s="38" t="s">
        <v>29</v>
      </c>
      <c r="C23" s="3" t="s">
        <v>30</v>
      </c>
      <c r="D23" s="183">
        <v>4446</v>
      </c>
    </row>
    <row r="24" spans="1:4" ht="12.75" customHeight="1" x14ac:dyDescent="0.2">
      <c r="A24">
        <v>3</v>
      </c>
      <c r="B24" s="38" t="s">
        <v>123</v>
      </c>
      <c r="C24" s="3" t="s">
        <v>63</v>
      </c>
      <c r="D24" s="184">
        <v>3589</v>
      </c>
    </row>
    <row r="25" spans="1:4" x14ac:dyDescent="0.2">
      <c r="A25">
        <v>3</v>
      </c>
      <c r="B25" s="38" t="s">
        <v>115</v>
      </c>
      <c r="C25" s="3" t="s">
        <v>32</v>
      </c>
      <c r="D25" s="183">
        <v>2220</v>
      </c>
    </row>
    <row r="26" spans="1:4" x14ac:dyDescent="0.2">
      <c r="A26">
        <v>1</v>
      </c>
      <c r="B26" s="38" t="s">
        <v>33</v>
      </c>
      <c r="C26" s="3" t="s">
        <v>34</v>
      </c>
      <c r="D26" s="183">
        <v>728</v>
      </c>
    </row>
    <row r="27" spans="1:4" x14ac:dyDescent="0.2">
      <c r="A27">
        <v>3</v>
      </c>
      <c r="B27" s="38" t="s">
        <v>35</v>
      </c>
      <c r="C27" s="3" t="s">
        <v>36</v>
      </c>
      <c r="D27" s="183">
        <v>2737</v>
      </c>
    </row>
    <row r="28" spans="1:4" x14ac:dyDescent="0.2">
      <c r="A28">
        <v>3</v>
      </c>
      <c r="B28" s="38" t="s">
        <v>37</v>
      </c>
      <c r="C28" s="3" t="s">
        <v>38</v>
      </c>
      <c r="D28" s="183">
        <v>1998</v>
      </c>
    </row>
    <row r="29" spans="1:4" x14ac:dyDescent="0.2">
      <c r="A29">
        <v>3</v>
      </c>
      <c r="B29" s="38" t="s">
        <v>39</v>
      </c>
      <c r="C29" s="3" t="s">
        <v>40</v>
      </c>
      <c r="D29" s="183">
        <v>3948</v>
      </c>
    </row>
    <row r="30" spans="1:4" x14ac:dyDescent="0.2">
      <c r="A30">
        <v>1</v>
      </c>
      <c r="B30" s="38" t="s">
        <v>46</v>
      </c>
      <c r="C30" s="3" t="s">
        <v>70</v>
      </c>
      <c r="D30" s="183">
        <v>4546</v>
      </c>
    </row>
    <row r="31" spans="1:4" x14ac:dyDescent="0.2">
      <c r="A31">
        <v>4</v>
      </c>
      <c r="B31" s="38" t="s">
        <v>41</v>
      </c>
      <c r="C31" s="3" t="s">
        <v>122</v>
      </c>
      <c r="D31" s="183">
        <v>2212</v>
      </c>
    </row>
    <row r="32" spans="1:4" x14ac:dyDescent="0.2">
      <c r="A32">
        <v>4</v>
      </c>
      <c r="B32" s="38" t="s">
        <v>42</v>
      </c>
      <c r="C32" s="3" t="s">
        <v>69</v>
      </c>
      <c r="D32" s="183">
        <v>3712</v>
      </c>
    </row>
    <row r="33" spans="1:4" x14ac:dyDescent="0.2">
      <c r="A33">
        <v>1</v>
      </c>
      <c r="B33" s="38" t="s">
        <v>43</v>
      </c>
      <c r="C33" s="3" t="s">
        <v>44</v>
      </c>
      <c r="D33" s="183">
        <v>11837</v>
      </c>
    </row>
    <row r="34" spans="1:4" x14ac:dyDescent="0.2">
      <c r="A34">
        <v>1</v>
      </c>
      <c r="B34" s="38" t="s">
        <v>45</v>
      </c>
      <c r="C34" s="3" t="s">
        <v>127</v>
      </c>
      <c r="D34" s="183">
        <v>3373</v>
      </c>
    </row>
    <row r="35" spans="1:4" x14ac:dyDescent="0.2">
      <c r="A35">
        <v>4</v>
      </c>
      <c r="B35" s="38" t="s">
        <v>47</v>
      </c>
      <c r="C35" s="3" t="s">
        <v>48</v>
      </c>
      <c r="D35" s="183">
        <v>7890</v>
      </c>
    </row>
    <row r="37" spans="1:4" x14ac:dyDescent="0.2">
      <c r="B37" s="4"/>
      <c r="C37" s="4" t="s">
        <v>49</v>
      </c>
      <c r="D37" s="185">
        <f t="shared" ref="D37" si="0">SUM(D6:D36)</f>
        <v>135088</v>
      </c>
    </row>
    <row r="38" spans="1:4" ht="14.25" customHeight="1" x14ac:dyDescent="0.2">
      <c r="B38" s="4"/>
      <c r="C38" s="4"/>
      <c r="D38" s="185"/>
    </row>
    <row r="39" spans="1:4" ht="16.5" customHeight="1" x14ac:dyDescent="0.2">
      <c r="B39" s="16" t="s">
        <v>50</v>
      </c>
    </row>
    <row r="40" spans="1:4" ht="12" customHeight="1" x14ac:dyDescent="0.2">
      <c r="B40" s="488" t="s">
        <v>198</v>
      </c>
      <c r="C40" s="489"/>
    </row>
  </sheetData>
  <mergeCells count="1">
    <mergeCell ref="B40:C40"/>
  </mergeCells>
  <phoneticPr fontId="11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499984740745262"/>
  </sheetPr>
  <dimension ref="A1:L47"/>
  <sheetViews>
    <sheetView workbookViewId="0">
      <pane xSplit="1" ySplit="5" topLeftCell="B27" activePane="bottomRight" state="frozen"/>
      <selection activeCell="O20" sqref="O20"/>
      <selection pane="topRight" activeCell="O20" sqref="O20"/>
      <selection pane="bottomLeft" activeCell="O20" sqref="O20"/>
      <selection pane="bottomRight" activeCell="O20" sqref="O20"/>
    </sheetView>
  </sheetViews>
  <sheetFormatPr defaultRowHeight="12.75" x14ac:dyDescent="0.2"/>
  <cols>
    <col min="1" max="1" width="41.5703125" style="311" bestFit="1" customWidth="1"/>
    <col min="2" max="2" width="6.42578125" style="312" bestFit="1" customWidth="1"/>
    <col min="3" max="3" width="7.28515625" style="312" bestFit="1" customWidth="1"/>
    <col min="4" max="4" width="5.85546875" style="313" bestFit="1" customWidth="1"/>
    <col min="5" max="5" width="8.140625" style="313" bestFit="1" customWidth="1"/>
    <col min="6" max="6" width="8.7109375" style="312" customWidth="1"/>
    <col min="7" max="7" width="6.85546875" style="313" bestFit="1" customWidth="1"/>
    <col min="8" max="9" width="8.7109375" style="312" bestFit="1" customWidth="1"/>
    <col min="10" max="10" width="11" style="311" hidden="1" customWidth="1"/>
    <col min="11" max="12" width="0" style="311" hidden="1" customWidth="1"/>
    <col min="13" max="16384" width="9.140625" style="311"/>
  </cols>
  <sheetData>
    <row r="1" spans="1:12" ht="15" customHeight="1" x14ac:dyDescent="0.2">
      <c r="A1" s="499" t="s">
        <v>208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2" ht="15" customHeight="1" x14ac:dyDescent="0.2">
      <c r="A2" s="499" t="s">
        <v>298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2" ht="15" customHeight="1" x14ac:dyDescent="0.2">
      <c r="A3" s="499" t="s">
        <v>209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2" ht="15" customHeight="1" x14ac:dyDescent="0.2"/>
    <row r="5" spans="1:12" ht="51" x14ac:dyDescent="0.2">
      <c r="A5" s="314" t="s">
        <v>210</v>
      </c>
      <c r="B5" s="315" t="s">
        <v>211</v>
      </c>
      <c r="C5" s="315" t="s">
        <v>212</v>
      </c>
      <c r="D5" s="316" t="s">
        <v>213</v>
      </c>
      <c r="E5" s="316" t="s">
        <v>214</v>
      </c>
      <c r="F5" s="317" t="s">
        <v>215</v>
      </c>
      <c r="G5" s="316" t="s">
        <v>216</v>
      </c>
      <c r="H5" s="317" t="s">
        <v>217</v>
      </c>
      <c r="I5" s="318" t="s">
        <v>218</v>
      </c>
      <c r="J5" s="319" t="s">
        <v>219</v>
      </c>
      <c r="K5" s="320"/>
      <c r="L5" s="320"/>
    </row>
    <row r="6" spans="1:12" ht="15" customHeight="1" x14ac:dyDescent="0.2">
      <c r="A6" s="321" t="s">
        <v>220</v>
      </c>
      <c r="B6" s="322">
        <v>860</v>
      </c>
      <c r="C6" s="322">
        <v>647</v>
      </c>
      <c r="D6" s="323">
        <v>0.75232600000000005</v>
      </c>
      <c r="E6" s="323">
        <v>0.70017300000000005</v>
      </c>
      <c r="F6" s="322">
        <v>602.14864499999999</v>
      </c>
      <c r="G6" s="323">
        <v>0.70668600000000004</v>
      </c>
      <c r="H6" s="322">
        <v>607.74972100000002</v>
      </c>
      <c r="I6" s="324">
        <f t="shared" ref="I6:I21" si="0">IF(C6-H6&gt;0,ROUND(C6-H6,0),0)</f>
        <v>39</v>
      </c>
      <c r="J6" s="325">
        <f t="shared" ref="J6:J36" si="1">J$47*ROUND(I6,0)</f>
        <v>390000</v>
      </c>
    </row>
    <row r="7" spans="1:12" ht="15" customHeight="1" x14ac:dyDescent="0.2">
      <c r="A7" s="321" t="s">
        <v>221</v>
      </c>
      <c r="B7" s="324">
        <v>2812</v>
      </c>
      <c r="C7" s="324">
        <v>1793</v>
      </c>
      <c r="D7" s="326">
        <v>0.63762399999999997</v>
      </c>
      <c r="E7" s="326">
        <v>0.62402500000000005</v>
      </c>
      <c r="F7" s="324">
        <v>1754.7576120000001</v>
      </c>
      <c r="G7" s="326">
        <v>0.63124899999999995</v>
      </c>
      <c r="H7" s="324">
        <v>1775.0712639999999</v>
      </c>
      <c r="I7" s="324">
        <f t="shared" si="0"/>
        <v>18</v>
      </c>
      <c r="J7" s="327">
        <f t="shared" si="1"/>
        <v>180000</v>
      </c>
    </row>
    <row r="8" spans="1:12" ht="15" customHeight="1" x14ac:dyDescent="0.2">
      <c r="A8" s="321" t="s">
        <v>222</v>
      </c>
      <c r="B8" s="324">
        <v>913</v>
      </c>
      <c r="C8" s="324">
        <v>571</v>
      </c>
      <c r="D8" s="326">
        <v>0.62541100000000005</v>
      </c>
      <c r="E8" s="326">
        <v>0.67366000000000004</v>
      </c>
      <c r="F8" s="324">
        <v>615.05192699999998</v>
      </c>
      <c r="G8" s="326">
        <v>0.68302499999999999</v>
      </c>
      <c r="H8" s="324">
        <v>623.60212200000001</v>
      </c>
      <c r="I8" s="324">
        <f t="shared" si="0"/>
        <v>0</v>
      </c>
      <c r="J8" s="327">
        <f t="shared" si="1"/>
        <v>0</v>
      </c>
      <c r="L8" s="313">
        <f>G8-I8</f>
        <v>0.68302499999999999</v>
      </c>
    </row>
    <row r="9" spans="1:12" ht="15" customHeight="1" x14ac:dyDescent="0.2">
      <c r="A9" s="321" t="s">
        <v>7</v>
      </c>
      <c r="B9" s="324">
        <v>1094</v>
      </c>
      <c r="C9" s="324">
        <v>668</v>
      </c>
      <c r="D9" s="326">
        <v>0.61060300000000001</v>
      </c>
      <c r="E9" s="326">
        <v>0.65275799999999995</v>
      </c>
      <c r="F9" s="324">
        <v>714.11744799999997</v>
      </c>
      <c r="G9" s="326">
        <v>0.65813600000000005</v>
      </c>
      <c r="H9" s="324">
        <v>720.00093300000003</v>
      </c>
      <c r="I9" s="324">
        <f t="shared" si="0"/>
        <v>0</v>
      </c>
      <c r="J9" s="327">
        <f t="shared" si="1"/>
        <v>0</v>
      </c>
    </row>
    <row r="10" spans="1:12" ht="15" customHeight="1" x14ac:dyDescent="0.2">
      <c r="A10" s="321" t="s">
        <v>9</v>
      </c>
      <c r="B10" s="324">
        <v>3454</v>
      </c>
      <c r="C10" s="324">
        <v>2203</v>
      </c>
      <c r="D10" s="326">
        <v>0.63781100000000002</v>
      </c>
      <c r="E10" s="326">
        <v>0.62330200000000002</v>
      </c>
      <c r="F10" s="324">
        <v>2152.8857579999999</v>
      </c>
      <c r="G10" s="326">
        <v>0.62813600000000003</v>
      </c>
      <c r="H10" s="324">
        <v>2169.583408</v>
      </c>
      <c r="I10" s="324">
        <f t="shared" si="0"/>
        <v>33</v>
      </c>
      <c r="J10" s="327">
        <f t="shared" si="1"/>
        <v>330000</v>
      </c>
    </row>
    <row r="11" spans="1:12" ht="15" customHeight="1" x14ac:dyDescent="0.2">
      <c r="A11" s="321" t="s">
        <v>223</v>
      </c>
      <c r="B11" s="324">
        <v>1203</v>
      </c>
      <c r="C11" s="324">
        <v>796</v>
      </c>
      <c r="D11" s="326">
        <v>0.66167900000000002</v>
      </c>
      <c r="E11" s="326">
        <v>0.67935000000000001</v>
      </c>
      <c r="F11" s="324">
        <v>817.258464</v>
      </c>
      <c r="G11" s="326">
        <v>0.68669199999999997</v>
      </c>
      <c r="H11" s="324">
        <v>826.09094700000003</v>
      </c>
      <c r="I11" s="324">
        <f t="shared" si="0"/>
        <v>0</v>
      </c>
      <c r="J11" s="327">
        <f t="shared" si="1"/>
        <v>0</v>
      </c>
    </row>
    <row r="12" spans="1:12" ht="15" customHeight="1" x14ac:dyDescent="0.2">
      <c r="A12" s="321" t="s">
        <v>224</v>
      </c>
      <c r="B12" s="324">
        <v>432</v>
      </c>
      <c r="C12" s="324">
        <v>285</v>
      </c>
      <c r="D12" s="326">
        <v>0.65972200000000003</v>
      </c>
      <c r="E12" s="326">
        <v>0.62018799999999996</v>
      </c>
      <c r="F12" s="324">
        <v>267.92126500000001</v>
      </c>
      <c r="G12" s="326">
        <v>0.62599000000000005</v>
      </c>
      <c r="H12" s="324">
        <v>270.42785300000003</v>
      </c>
      <c r="I12" s="324">
        <f t="shared" si="0"/>
        <v>15</v>
      </c>
      <c r="J12" s="327">
        <f t="shared" si="1"/>
        <v>150000</v>
      </c>
    </row>
    <row r="13" spans="1:12" ht="15" customHeight="1" x14ac:dyDescent="0.2">
      <c r="A13" s="321" t="s">
        <v>147</v>
      </c>
      <c r="B13" s="324">
        <v>2555</v>
      </c>
      <c r="C13" s="324">
        <v>1621</v>
      </c>
      <c r="D13" s="326">
        <v>0.63444199999999995</v>
      </c>
      <c r="E13" s="326">
        <v>0.63192300000000001</v>
      </c>
      <c r="F13" s="324">
        <v>1614.5629429999999</v>
      </c>
      <c r="G13" s="326">
        <v>0.63871</v>
      </c>
      <c r="H13" s="324">
        <v>1631.9049729999999</v>
      </c>
      <c r="I13" s="324">
        <f t="shared" si="0"/>
        <v>0</v>
      </c>
      <c r="J13" s="327">
        <f t="shared" si="1"/>
        <v>0</v>
      </c>
    </row>
    <row r="14" spans="1:12" ht="15" customHeight="1" x14ac:dyDescent="0.2">
      <c r="A14" s="321" t="s">
        <v>225</v>
      </c>
      <c r="B14" s="324">
        <v>2016</v>
      </c>
      <c r="C14" s="324">
        <v>1287</v>
      </c>
      <c r="D14" s="326">
        <v>0.63839299999999999</v>
      </c>
      <c r="E14" s="326">
        <v>0.64262799999999998</v>
      </c>
      <c r="F14" s="324">
        <v>1295.5375670000001</v>
      </c>
      <c r="G14" s="326">
        <v>0.65289299999999995</v>
      </c>
      <c r="H14" s="324">
        <v>1316.2313260000001</v>
      </c>
      <c r="I14" s="324">
        <f t="shared" si="0"/>
        <v>0</v>
      </c>
      <c r="J14" s="327">
        <f t="shared" si="1"/>
        <v>0</v>
      </c>
    </row>
    <row r="15" spans="1:12" ht="15" customHeight="1" x14ac:dyDescent="0.2">
      <c r="A15" s="321" t="s">
        <v>17</v>
      </c>
      <c r="B15" s="324">
        <v>1424</v>
      </c>
      <c r="C15" s="324">
        <v>919</v>
      </c>
      <c r="D15" s="326">
        <v>0.64536499999999997</v>
      </c>
      <c r="E15" s="326">
        <v>0.64207700000000001</v>
      </c>
      <c r="F15" s="324">
        <v>914.31728099999998</v>
      </c>
      <c r="G15" s="326">
        <v>0.64741499999999996</v>
      </c>
      <c r="H15" s="324">
        <v>921.91934900000001</v>
      </c>
      <c r="I15" s="324">
        <f t="shared" si="0"/>
        <v>0</v>
      </c>
      <c r="J15" s="327">
        <f t="shared" si="1"/>
        <v>0</v>
      </c>
    </row>
    <row r="16" spans="1:12" ht="15" customHeight="1" x14ac:dyDescent="0.2">
      <c r="A16" s="321" t="s">
        <v>226</v>
      </c>
      <c r="B16" s="324">
        <v>3611</v>
      </c>
      <c r="C16" s="324">
        <v>2092</v>
      </c>
      <c r="D16" s="326">
        <v>0.57934099999999999</v>
      </c>
      <c r="E16" s="326">
        <v>0.57260999999999995</v>
      </c>
      <c r="F16" s="324">
        <v>2067.6942960000001</v>
      </c>
      <c r="G16" s="326">
        <v>0.579376</v>
      </c>
      <c r="H16" s="324">
        <v>2092.1251259999999</v>
      </c>
      <c r="I16" s="324">
        <f t="shared" si="0"/>
        <v>0</v>
      </c>
      <c r="J16" s="327">
        <f t="shared" si="1"/>
        <v>0</v>
      </c>
    </row>
    <row r="17" spans="1:10" ht="15" customHeight="1" x14ac:dyDescent="0.2">
      <c r="A17" s="321" t="s">
        <v>227</v>
      </c>
      <c r="B17" s="324">
        <v>751</v>
      </c>
      <c r="C17" s="324">
        <v>502</v>
      </c>
      <c r="D17" s="326">
        <v>0.66844199999999998</v>
      </c>
      <c r="E17" s="326">
        <v>0.66419099999999998</v>
      </c>
      <c r="F17" s="324">
        <v>498.80740200000002</v>
      </c>
      <c r="G17" s="326">
        <v>0.67039300000000002</v>
      </c>
      <c r="H17" s="324">
        <v>503.46505000000002</v>
      </c>
      <c r="I17" s="324">
        <f t="shared" si="0"/>
        <v>0</v>
      </c>
      <c r="J17" s="327">
        <f t="shared" si="1"/>
        <v>0</v>
      </c>
    </row>
    <row r="18" spans="1:10" ht="15" customHeight="1" x14ac:dyDescent="0.2">
      <c r="A18" s="321" t="s">
        <v>228</v>
      </c>
      <c r="B18" s="324">
        <v>2207</v>
      </c>
      <c r="C18" s="324">
        <v>1415</v>
      </c>
      <c r="D18" s="326">
        <v>0.64114199999999999</v>
      </c>
      <c r="E18" s="326">
        <v>0.64809499999999998</v>
      </c>
      <c r="F18" s="324">
        <v>1430.3459889999999</v>
      </c>
      <c r="G18" s="326">
        <v>0.65354100000000004</v>
      </c>
      <c r="H18" s="324">
        <v>1442.3652649999999</v>
      </c>
      <c r="I18" s="324">
        <f t="shared" si="0"/>
        <v>0</v>
      </c>
      <c r="J18" s="327">
        <f t="shared" si="1"/>
        <v>0</v>
      </c>
    </row>
    <row r="19" spans="1:10" ht="15" customHeight="1" x14ac:dyDescent="0.2">
      <c r="A19" s="321" t="s">
        <v>229</v>
      </c>
      <c r="B19" s="324">
        <v>717</v>
      </c>
      <c r="C19" s="324">
        <v>479</v>
      </c>
      <c r="D19" s="326">
        <v>0.66806100000000002</v>
      </c>
      <c r="E19" s="326">
        <v>0.648316</v>
      </c>
      <c r="F19" s="324">
        <v>464.84243900000001</v>
      </c>
      <c r="G19" s="326">
        <v>0.65394099999999999</v>
      </c>
      <c r="H19" s="324">
        <v>468.87539500000003</v>
      </c>
      <c r="I19" s="324">
        <f t="shared" si="0"/>
        <v>10</v>
      </c>
      <c r="J19" s="327">
        <f t="shared" si="1"/>
        <v>100000</v>
      </c>
    </row>
    <row r="20" spans="1:10" ht="15" customHeight="1" x14ac:dyDescent="0.2">
      <c r="A20" s="321" t="s">
        <v>137</v>
      </c>
      <c r="B20" s="324">
        <v>3542</v>
      </c>
      <c r="C20" s="324">
        <v>2287</v>
      </c>
      <c r="D20" s="326">
        <v>0.64568000000000003</v>
      </c>
      <c r="E20" s="326">
        <v>0.62740600000000002</v>
      </c>
      <c r="F20" s="324">
        <v>2222.27225</v>
      </c>
      <c r="G20" s="326">
        <v>0.63260000000000005</v>
      </c>
      <c r="H20" s="324">
        <v>2240.670513</v>
      </c>
      <c r="I20" s="324">
        <f t="shared" si="0"/>
        <v>46</v>
      </c>
      <c r="J20" s="327">
        <f t="shared" si="1"/>
        <v>460000</v>
      </c>
    </row>
    <row r="21" spans="1:10" ht="15" customHeight="1" x14ac:dyDescent="0.2">
      <c r="A21" s="321" t="s">
        <v>138</v>
      </c>
      <c r="B21" s="324">
        <v>2584</v>
      </c>
      <c r="C21" s="324">
        <v>1614</v>
      </c>
      <c r="D21" s="326">
        <v>0.62461299999999997</v>
      </c>
      <c r="E21" s="326">
        <v>0.61767099999999997</v>
      </c>
      <c r="F21" s="324">
        <v>1596.062688</v>
      </c>
      <c r="G21" s="326">
        <v>0.62392700000000001</v>
      </c>
      <c r="H21" s="324">
        <v>1612.226334</v>
      </c>
      <c r="I21" s="324">
        <f t="shared" si="0"/>
        <v>2</v>
      </c>
      <c r="J21" s="327">
        <f t="shared" si="1"/>
        <v>20000</v>
      </c>
    </row>
    <row r="22" spans="1:10" ht="15" customHeight="1" x14ac:dyDescent="0.2">
      <c r="A22" s="321" t="s">
        <v>63</v>
      </c>
      <c r="B22" s="324">
        <f>SUM(B23:B27)</f>
        <v>1904</v>
      </c>
      <c r="C22" s="324">
        <f>SUM(C23:C27)</f>
        <v>1306</v>
      </c>
      <c r="D22" s="326">
        <f>C22/B22</f>
        <v>0.68592436974789917</v>
      </c>
      <c r="E22" s="326">
        <f>F22/B22</f>
        <v>0.67695484558823527</v>
      </c>
      <c r="F22" s="324">
        <f>SUM(F23:F27)</f>
        <v>1288.922026</v>
      </c>
      <c r="G22" s="326">
        <f>H22/B22</f>
        <v>0.68258196533613447</v>
      </c>
      <c r="H22" s="324">
        <f>SUM(H23:H27)</f>
        <v>1299.636062</v>
      </c>
      <c r="I22" s="324">
        <f>SUM(I23:I27)</f>
        <v>32</v>
      </c>
      <c r="J22" s="328">
        <f t="shared" si="1"/>
        <v>320000</v>
      </c>
    </row>
    <row r="23" spans="1:10" ht="15" customHeight="1" x14ac:dyDescent="0.2">
      <c r="A23" s="321" t="s">
        <v>230</v>
      </c>
      <c r="B23" s="324">
        <v>592</v>
      </c>
      <c r="C23" s="324">
        <v>423</v>
      </c>
      <c r="D23" s="326">
        <v>0.71452700000000002</v>
      </c>
      <c r="E23" s="326">
        <v>0.67806299999999997</v>
      </c>
      <c r="F23" s="324">
        <v>401.41315600000001</v>
      </c>
      <c r="G23" s="326">
        <v>0.68262699999999998</v>
      </c>
      <c r="H23" s="324">
        <v>404.11524300000002</v>
      </c>
      <c r="I23" s="324">
        <f t="shared" ref="I23:I36" si="2">IF(C23-H23&gt;0,ROUND(C23-H23,0),0)</f>
        <v>19</v>
      </c>
      <c r="J23" s="327">
        <f t="shared" si="1"/>
        <v>190000</v>
      </c>
    </row>
    <row r="24" spans="1:10" ht="15" customHeight="1" x14ac:dyDescent="0.2">
      <c r="A24" s="321" t="s">
        <v>231</v>
      </c>
      <c r="B24" s="324">
        <v>541</v>
      </c>
      <c r="C24" s="324">
        <v>375</v>
      </c>
      <c r="D24" s="326">
        <v>0.69316100000000003</v>
      </c>
      <c r="E24" s="326">
        <v>0.66780799999999996</v>
      </c>
      <c r="F24" s="324">
        <v>361.28400699999997</v>
      </c>
      <c r="G24" s="326">
        <v>0.67344899999999996</v>
      </c>
      <c r="H24" s="324">
        <v>364.33606800000001</v>
      </c>
      <c r="I24" s="324">
        <f t="shared" si="2"/>
        <v>11</v>
      </c>
      <c r="J24" s="327">
        <f t="shared" si="1"/>
        <v>110000</v>
      </c>
    </row>
    <row r="25" spans="1:10" ht="15" customHeight="1" x14ac:dyDescent="0.2">
      <c r="A25" s="321" t="s">
        <v>232</v>
      </c>
      <c r="B25" s="324">
        <v>413</v>
      </c>
      <c r="C25" s="324">
        <v>262</v>
      </c>
      <c r="D25" s="326">
        <v>0.63438300000000003</v>
      </c>
      <c r="E25" s="326">
        <v>0.66552299999999998</v>
      </c>
      <c r="F25" s="324">
        <v>274.86084599999998</v>
      </c>
      <c r="G25" s="326">
        <v>0.67150799999999999</v>
      </c>
      <c r="H25" s="324">
        <v>277.33278799999999</v>
      </c>
      <c r="I25" s="324">
        <f t="shared" si="2"/>
        <v>0</v>
      </c>
      <c r="J25" s="327">
        <f t="shared" si="1"/>
        <v>0</v>
      </c>
    </row>
    <row r="26" spans="1:10" ht="15" customHeight="1" x14ac:dyDescent="0.2">
      <c r="A26" s="321" t="s">
        <v>233</v>
      </c>
      <c r="B26" s="324">
        <v>124</v>
      </c>
      <c r="C26" s="324">
        <v>86</v>
      </c>
      <c r="D26" s="326">
        <v>0.69354800000000005</v>
      </c>
      <c r="E26" s="326">
        <v>0.66871800000000003</v>
      </c>
      <c r="F26" s="324">
        <v>82.921076999999997</v>
      </c>
      <c r="G26" s="326">
        <v>0.67553399999999997</v>
      </c>
      <c r="H26" s="324">
        <v>83.766159000000002</v>
      </c>
      <c r="I26" s="324">
        <f t="shared" si="2"/>
        <v>2</v>
      </c>
      <c r="J26" s="327">
        <f t="shared" si="1"/>
        <v>20000</v>
      </c>
    </row>
    <row r="27" spans="1:10" ht="15" customHeight="1" x14ac:dyDescent="0.2">
      <c r="A27" s="321" t="s">
        <v>234</v>
      </c>
      <c r="B27" s="324">
        <v>234</v>
      </c>
      <c r="C27" s="324">
        <v>160</v>
      </c>
      <c r="D27" s="326">
        <v>0.68376099999999995</v>
      </c>
      <c r="E27" s="326">
        <v>0.71984199999999998</v>
      </c>
      <c r="F27" s="324">
        <v>168.44293999999999</v>
      </c>
      <c r="G27" s="326">
        <v>0.72686200000000001</v>
      </c>
      <c r="H27" s="324">
        <v>170.085804</v>
      </c>
      <c r="I27" s="324">
        <f t="shared" si="2"/>
        <v>0</v>
      </c>
      <c r="J27" s="327">
        <f t="shared" si="1"/>
        <v>0</v>
      </c>
    </row>
    <row r="28" spans="1:10" ht="15" customHeight="1" x14ac:dyDescent="0.2">
      <c r="A28" s="321" t="s">
        <v>235</v>
      </c>
      <c r="B28" s="324">
        <v>992</v>
      </c>
      <c r="C28" s="324">
        <v>678</v>
      </c>
      <c r="D28" s="326">
        <v>0.68346799999999996</v>
      </c>
      <c r="E28" s="326">
        <v>0.64716700000000005</v>
      </c>
      <c r="F28" s="324">
        <v>641.98976800000003</v>
      </c>
      <c r="G28" s="326">
        <v>0.65251300000000001</v>
      </c>
      <c r="H28" s="324">
        <v>647.29249700000003</v>
      </c>
      <c r="I28" s="324">
        <f t="shared" si="2"/>
        <v>31</v>
      </c>
      <c r="J28" s="327">
        <f t="shared" si="1"/>
        <v>310000</v>
      </c>
    </row>
    <row r="29" spans="1:10" ht="15" customHeight="1" x14ac:dyDescent="0.2">
      <c r="A29" s="321" t="s">
        <v>236</v>
      </c>
      <c r="B29" s="324">
        <v>408</v>
      </c>
      <c r="C29" s="324">
        <v>250</v>
      </c>
      <c r="D29" s="326">
        <v>0.61274499999999998</v>
      </c>
      <c r="E29" s="326">
        <v>0.59500900000000001</v>
      </c>
      <c r="F29" s="324">
        <v>242.76386199999999</v>
      </c>
      <c r="G29" s="326">
        <v>0.60210799999999998</v>
      </c>
      <c r="H29" s="324">
        <v>245.659954</v>
      </c>
      <c r="I29" s="324">
        <f t="shared" si="2"/>
        <v>4</v>
      </c>
      <c r="J29" s="327">
        <f t="shared" si="1"/>
        <v>40000</v>
      </c>
    </row>
    <row r="30" spans="1:10" ht="15" customHeight="1" x14ac:dyDescent="0.2">
      <c r="A30" s="321" t="s">
        <v>237</v>
      </c>
      <c r="B30" s="324">
        <v>311</v>
      </c>
      <c r="C30" s="324">
        <v>170</v>
      </c>
      <c r="D30" s="326">
        <v>0.546624</v>
      </c>
      <c r="E30" s="326">
        <v>0.61436400000000002</v>
      </c>
      <c r="F30" s="324">
        <v>191.06713300000001</v>
      </c>
      <c r="G30" s="326">
        <v>0.61992199999999997</v>
      </c>
      <c r="H30" s="324">
        <v>192.79563400000001</v>
      </c>
      <c r="I30" s="324">
        <f t="shared" si="2"/>
        <v>0</v>
      </c>
      <c r="J30" s="327">
        <f t="shared" si="1"/>
        <v>0</v>
      </c>
    </row>
    <row r="31" spans="1:10" ht="15" customHeight="1" x14ac:dyDescent="0.2">
      <c r="A31" s="321" t="s">
        <v>36</v>
      </c>
      <c r="B31" s="324">
        <v>1400</v>
      </c>
      <c r="C31" s="324">
        <v>922</v>
      </c>
      <c r="D31" s="326">
        <v>0.65857100000000002</v>
      </c>
      <c r="E31" s="326">
        <v>0.663713</v>
      </c>
      <c r="F31" s="324">
        <v>929.19857000000002</v>
      </c>
      <c r="G31" s="326">
        <v>0.66794299999999995</v>
      </c>
      <c r="H31" s="324">
        <v>935.11959400000001</v>
      </c>
      <c r="I31" s="324">
        <f t="shared" si="2"/>
        <v>0</v>
      </c>
      <c r="J31" s="327">
        <f t="shared" si="1"/>
        <v>0</v>
      </c>
    </row>
    <row r="32" spans="1:10" ht="15" customHeight="1" x14ac:dyDescent="0.2">
      <c r="A32" s="321" t="s">
        <v>136</v>
      </c>
      <c r="B32" s="324">
        <v>822</v>
      </c>
      <c r="C32" s="324">
        <v>547</v>
      </c>
      <c r="D32" s="326">
        <v>0.66544999999999999</v>
      </c>
      <c r="E32" s="326">
        <v>0.64492899999999997</v>
      </c>
      <c r="F32" s="324">
        <v>530.13136299999996</v>
      </c>
      <c r="G32" s="326">
        <v>0.65080499999999997</v>
      </c>
      <c r="H32" s="324">
        <v>534.96132399999999</v>
      </c>
      <c r="I32" s="324">
        <f t="shared" si="2"/>
        <v>12</v>
      </c>
      <c r="J32" s="327">
        <f t="shared" si="1"/>
        <v>120000</v>
      </c>
    </row>
    <row r="33" spans="1:10" ht="15" customHeight="1" x14ac:dyDescent="0.2">
      <c r="A33" s="321" t="s">
        <v>238</v>
      </c>
      <c r="B33" s="324">
        <v>2066</v>
      </c>
      <c r="C33" s="324">
        <v>1265</v>
      </c>
      <c r="D33" s="326">
        <v>0.612294</v>
      </c>
      <c r="E33" s="326">
        <v>0.641042</v>
      </c>
      <c r="F33" s="324">
        <v>1324.3917570000001</v>
      </c>
      <c r="G33" s="326">
        <v>0.64633799999999997</v>
      </c>
      <c r="H33" s="324">
        <v>1335.334963</v>
      </c>
      <c r="I33" s="324">
        <f t="shared" si="2"/>
        <v>0</v>
      </c>
      <c r="J33" s="327">
        <f t="shared" si="1"/>
        <v>0</v>
      </c>
    </row>
    <row r="34" spans="1:10" ht="15" customHeight="1" x14ac:dyDescent="0.2">
      <c r="A34" s="321" t="s">
        <v>239</v>
      </c>
      <c r="B34" s="324">
        <v>2175</v>
      </c>
      <c r="C34" s="324">
        <v>1404</v>
      </c>
      <c r="D34" s="326">
        <v>0.64551700000000001</v>
      </c>
      <c r="E34" s="326">
        <v>0.62589099999999998</v>
      </c>
      <c r="F34" s="324">
        <v>1361.3125199999999</v>
      </c>
      <c r="G34" s="326">
        <v>0.6321</v>
      </c>
      <c r="H34" s="324">
        <v>1374.818235</v>
      </c>
      <c r="I34" s="324">
        <f t="shared" si="2"/>
        <v>29</v>
      </c>
      <c r="J34" s="327">
        <f t="shared" si="1"/>
        <v>290000</v>
      </c>
    </row>
    <row r="35" spans="1:10" ht="15" customHeight="1" x14ac:dyDescent="0.2">
      <c r="A35" s="321" t="s">
        <v>70</v>
      </c>
      <c r="B35" s="324">
        <v>2879</v>
      </c>
      <c r="C35" s="324">
        <v>1738</v>
      </c>
      <c r="D35" s="326">
        <v>0.60368200000000005</v>
      </c>
      <c r="E35" s="326">
        <v>0.58080500000000002</v>
      </c>
      <c r="F35" s="324">
        <v>1672.136352</v>
      </c>
      <c r="G35" s="326">
        <v>0.58685500000000002</v>
      </c>
      <c r="H35" s="324">
        <v>1689.5556819999999</v>
      </c>
      <c r="I35" s="324">
        <f t="shared" si="2"/>
        <v>48</v>
      </c>
      <c r="J35" s="327">
        <f t="shared" si="1"/>
        <v>480000</v>
      </c>
    </row>
    <row r="36" spans="1:10" ht="15" customHeight="1" x14ac:dyDescent="0.2">
      <c r="A36" s="321" t="s">
        <v>122</v>
      </c>
      <c r="B36" s="324">
        <v>1271</v>
      </c>
      <c r="C36" s="324">
        <v>835</v>
      </c>
      <c r="D36" s="326">
        <v>0.65696299999999996</v>
      </c>
      <c r="E36" s="326">
        <v>0.65039599999999997</v>
      </c>
      <c r="F36" s="324">
        <v>826.65274099999999</v>
      </c>
      <c r="G36" s="326">
        <v>0.65579299999999996</v>
      </c>
      <c r="H36" s="324">
        <v>833.51331300000004</v>
      </c>
      <c r="I36" s="324">
        <f t="shared" si="2"/>
        <v>1</v>
      </c>
      <c r="J36" s="327">
        <f t="shared" si="1"/>
        <v>10000</v>
      </c>
    </row>
    <row r="37" spans="1:10" ht="15" customHeight="1" x14ac:dyDescent="0.2">
      <c r="A37" s="329" t="s">
        <v>240</v>
      </c>
      <c r="B37" s="330">
        <f>SUM(B6:B22,B28:B36)</f>
        <v>44403</v>
      </c>
      <c r="C37" s="330">
        <f>SUM(C6:C22,C28:C36)</f>
        <v>28294</v>
      </c>
      <c r="D37" s="331">
        <f>C37/B37</f>
        <v>0.63720919757674033</v>
      </c>
      <c r="E37" s="331">
        <f>F37/B37</f>
        <v>0.63142467999909924</v>
      </c>
      <c r="F37" s="330">
        <f>SUM(F6:F22,F28:F36)</f>
        <v>28037.150066000006</v>
      </c>
      <c r="G37" s="331">
        <f>H37/B37</f>
        <v>0.63759198335698031</v>
      </c>
      <c r="H37" s="330">
        <f t="shared" ref="H37" si="3">SUM(H6:H22,H28:H36)</f>
        <v>28310.996836999995</v>
      </c>
      <c r="I37" s="330">
        <f>SUM(I6:I22,I28:I36)</f>
        <v>320</v>
      </c>
      <c r="J37" s="328">
        <f>SUM(J6:J22,J28:J36)</f>
        <v>3200000</v>
      </c>
    </row>
    <row r="38" spans="1:10" ht="15" customHeight="1" x14ac:dyDescent="0.2">
      <c r="A38" s="321" t="s">
        <v>241</v>
      </c>
      <c r="B38" s="324">
        <v>1595</v>
      </c>
      <c r="C38" s="324">
        <v>1316</v>
      </c>
      <c r="D38" s="326">
        <v>0.82507799999999998</v>
      </c>
      <c r="E38" s="326">
        <v>0.83259000000000005</v>
      </c>
      <c r="F38" s="324">
        <v>1327.9815229999999</v>
      </c>
      <c r="G38" s="326">
        <v>0.83895799999999998</v>
      </c>
      <c r="H38" s="324">
        <v>1338.137309</v>
      </c>
      <c r="I38" s="324">
        <f t="shared" ref="I38:I44" si="4">IF(C38-H38&gt;0,ROUND(C38-H38,0),0)</f>
        <v>0</v>
      </c>
      <c r="J38" s="327">
        <f t="shared" ref="J38:J44" si="5">J$47*ROUND(I38,0)</f>
        <v>0</v>
      </c>
    </row>
    <row r="39" spans="1:10" ht="15" customHeight="1" x14ac:dyDescent="0.2">
      <c r="A39" s="321" t="s">
        <v>148</v>
      </c>
      <c r="B39" s="324">
        <v>2740</v>
      </c>
      <c r="C39" s="324">
        <v>2188</v>
      </c>
      <c r="D39" s="326">
        <v>0.79854000000000003</v>
      </c>
      <c r="E39" s="326">
        <v>0.79254000000000002</v>
      </c>
      <c r="F39" s="324">
        <v>2171.5607650000002</v>
      </c>
      <c r="G39" s="474">
        <v>0.80199900000000002</v>
      </c>
      <c r="H39" s="324">
        <v>2197.4773110000001</v>
      </c>
      <c r="I39" s="471">
        <v>0.58917622469614928</v>
      </c>
      <c r="J39" s="327">
        <f t="shared" si="5"/>
        <v>10000</v>
      </c>
    </row>
    <row r="40" spans="1:10" ht="15" customHeight="1" x14ac:dyDescent="0.2">
      <c r="A40" s="321" t="s">
        <v>242</v>
      </c>
      <c r="B40" s="324">
        <v>3889</v>
      </c>
      <c r="C40" s="324">
        <v>3364</v>
      </c>
      <c r="D40" s="326">
        <v>0.865004</v>
      </c>
      <c r="E40" s="326">
        <v>0.87767099999999998</v>
      </c>
      <c r="F40" s="324">
        <v>3413.2610079999999</v>
      </c>
      <c r="G40" s="326">
        <v>0.883046</v>
      </c>
      <c r="H40" s="324">
        <v>3434.1659589999999</v>
      </c>
      <c r="I40" s="324">
        <f t="shared" si="4"/>
        <v>0</v>
      </c>
      <c r="J40" s="327">
        <f t="shared" si="5"/>
        <v>0</v>
      </c>
    </row>
    <row r="41" spans="1:10" ht="15" customHeight="1" x14ac:dyDescent="0.2">
      <c r="A41" s="321" t="s">
        <v>243</v>
      </c>
      <c r="B41" s="324">
        <v>1695</v>
      </c>
      <c r="C41" s="324">
        <v>1444</v>
      </c>
      <c r="D41" s="326">
        <v>0.85191700000000004</v>
      </c>
      <c r="E41" s="326">
        <v>0.83195600000000003</v>
      </c>
      <c r="F41" s="324">
        <v>1410.1651810000001</v>
      </c>
      <c r="G41" s="326">
        <v>0.83790699999999996</v>
      </c>
      <c r="H41" s="324">
        <v>1420.25161</v>
      </c>
      <c r="I41" s="324">
        <f t="shared" si="4"/>
        <v>24</v>
      </c>
      <c r="J41" s="327">
        <f t="shared" si="5"/>
        <v>240000</v>
      </c>
    </row>
    <row r="42" spans="1:10" ht="15" customHeight="1" x14ac:dyDescent="0.2">
      <c r="A42" s="321" t="s">
        <v>244</v>
      </c>
      <c r="B42" s="324">
        <v>3212</v>
      </c>
      <c r="C42" s="324">
        <v>2691</v>
      </c>
      <c r="D42" s="326">
        <v>0.83779599999999999</v>
      </c>
      <c r="E42" s="326">
        <v>0.84601199999999999</v>
      </c>
      <c r="F42" s="324">
        <v>2717.3902560000001</v>
      </c>
      <c r="G42" s="326">
        <v>0.85440700000000003</v>
      </c>
      <c r="H42" s="324">
        <v>2744.3558849999999</v>
      </c>
      <c r="I42" s="324">
        <f t="shared" si="4"/>
        <v>0</v>
      </c>
      <c r="J42" s="327">
        <f t="shared" si="5"/>
        <v>0</v>
      </c>
    </row>
    <row r="43" spans="1:10" ht="15" customHeight="1" x14ac:dyDescent="0.2">
      <c r="A43" s="321" t="s">
        <v>245</v>
      </c>
      <c r="B43" s="324">
        <v>835</v>
      </c>
      <c r="C43" s="324">
        <v>703</v>
      </c>
      <c r="D43" s="326">
        <v>0.841916</v>
      </c>
      <c r="E43" s="326">
        <v>0.82691000000000003</v>
      </c>
      <c r="F43" s="324">
        <v>690.47009800000001</v>
      </c>
      <c r="G43" s="326">
        <v>0.83144399999999996</v>
      </c>
      <c r="H43" s="324">
        <v>694.25588200000004</v>
      </c>
      <c r="I43" s="324">
        <f t="shared" si="4"/>
        <v>9</v>
      </c>
      <c r="J43" s="327">
        <f t="shared" si="5"/>
        <v>90000</v>
      </c>
    </row>
    <row r="44" spans="1:10" ht="15" customHeight="1" x14ac:dyDescent="0.2">
      <c r="A44" s="321" t="s">
        <v>246</v>
      </c>
      <c r="B44" s="324">
        <v>2452</v>
      </c>
      <c r="C44" s="324">
        <v>2242</v>
      </c>
      <c r="D44" s="326">
        <v>0.91435599999999995</v>
      </c>
      <c r="E44" s="326">
        <v>0.89507400000000004</v>
      </c>
      <c r="F44" s="324">
        <v>2194.7202320000001</v>
      </c>
      <c r="G44" s="326">
        <v>0.90041700000000002</v>
      </c>
      <c r="H44" s="324">
        <v>2207.8225539999999</v>
      </c>
      <c r="I44" s="324">
        <f t="shared" si="4"/>
        <v>34</v>
      </c>
      <c r="J44" s="327">
        <f t="shared" si="5"/>
        <v>340000</v>
      </c>
    </row>
    <row r="45" spans="1:10" ht="15" customHeight="1" x14ac:dyDescent="0.2">
      <c r="A45" s="329" t="s">
        <v>247</v>
      </c>
      <c r="B45" s="330">
        <f>SUM(B38:B44)</f>
        <v>16418</v>
      </c>
      <c r="C45" s="330">
        <f>SUM(C38:C44)</f>
        <v>13948</v>
      </c>
      <c r="D45" s="331">
        <f>C45/B45</f>
        <v>0.84955536606163962</v>
      </c>
      <c r="E45" s="331">
        <f>F45/B45</f>
        <v>0.84818790735777805</v>
      </c>
      <c r="F45" s="330">
        <f>SUM(F38:F44)</f>
        <v>13925.549063</v>
      </c>
      <c r="G45" s="331">
        <f>H45/B45</f>
        <v>0.85494375137044698</v>
      </c>
      <c r="H45" s="330">
        <f>SUM(H38:H44)</f>
        <v>14036.466509999998</v>
      </c>
      <c r="I45" s="330">
        <f>SUM(I38:I44)</f>
        <v>67.589176224696146</v>
      </c>
      <c r="J45" s="328">
        <f>SUM(J38:J44)</f>
        <v>680000</v>
      </c>
    </row>
    <row r="46" spans="1:10" ht="15" customHeight="1" x14ac:dyDescent="0.2">
      <c r="A46" s="332" t="s">
        <v>248</v>
      </c>
      <c r="B46" s="333">
        <f>B37+B45</f>
        <v>60821</v>
      </c>
      <c r="C46" s="333">
        <f>C37+C45</f>
        <v>42242</v>
      </c>
      <c r="D46" s="334">
        <f>C46/B46</f>
        <v>0.69452984988737443</v>
      </c>
      <c r="E46" s="334">
        <f>F46/B46</f>
        <v>0.68993767167590159</v>
      </c>
      <c r="F46" s="333">
        <f>F37+F45</f>
        <v>41962.699129000008</v>
      </c>
      <c r="G46" s="334">
        <f>H46/B46</f>
        <v>0.69626384549744325</v>
      </c>
      <c r="H46" s="333">
        <f>H37+H45</f>
        <v>42347.463346999997</v>
      </c>
      <c r="I46" s="333">
        <f>I37+I45</f>
        <v>387.58917622469613</v>
      </c>
      <c r="J46" s="335">
        <f>J37+J45</f>
        <v>3880000</v>
      </c>
    </row>
    <row r="47" spans="1:10" ht="15" customHeight="1" x14ac:dyDescent="0.2">
      <c r="J47" s="336">
        <v>10000</v>
      </c>
    </row>
  </sheetData>
  <mergeCells count="3">
    <mergeCell ref="A1:J1"/>
    <mergeCell ref="A2:J2"/>
    <mergeCell ref="A3:J3"/>
  </mergeCells>
  <printOptions horizontalCentered="1"/>
  <pageMargins left="0.2" right="0.2" top="0.3" bottom="0.4" header="0" footer="0.3"/>
  <pageSetup scale="90" orientation="portrait" r:id="rId1"/>
  <headerFooter>
    <oddFooter>&amp;LSource: System Office Research - Academic and Student Affairs    January 23, 2017
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499984740745262"/>
  </sheetPr>
  <dimension ref="A1:L47"/>
  <sheetViews>
    <sheetView workbookViewId="0">
      <pane xSplit="1" ySplit="5" topLeftCell="B6" activePane="bottomRight" state="frozen"/>
      <selection activeCell="O20" sqref="O20"/>
      <selection pane="topRight" activeCell="O20" sqref="O20"/>
      <selection pane="bottomLeft" activeCell="O20" sqref="O20"/>
      <selection pane="bottomRight" activeCell="O20" sqref="O20"/>
    </sheetView>
  </sheetViews>
  <sheetFormatPr defaultRowHeight="15" customHeight="1" x14ac:dyDescent="0.2"/>
  <cols>
    <col min="1" max="1" width="37.42578125" style="311" customWidth="1"/>
    <col min="2" max="4" width="5.7109375" style="311" bestFit="1" customWidth="1"/>
    <col min="5" max="5" width="9.5703125" style="311" bestFit="1" customWidth="1"/>
    <col min="6" max="6" width="11.42578125" style="311" bestFit="1" customWidth="1"/>
    <col min="7" max="7" width="12.28515625" style="311" bestFit="1" customWidth="1"/>
    <col min="8" max="8" width="11" style="311" customWidth="1"/>
    <col min="9" max="9" width="12.28515625" style="311" customWidth="1"/>
    <col min="10" max="12" width="0" style="311" hidden="1" customWidth="1"/>
    <col min="13" max="16384" width="9.140625" style="311"/>
  </cols>
  <sheetData>
    <row r="1" spans="1:12" ht="15" customHeight="1" x14ac:dyDescent="0.2">
      <c r="A1" s="499" t="s">
        <v>249</v>
      </c>
      <c r="B1" s="499"/>
      <c r="C1" s="499"/>
      <c r="D1" s="499"/>
      <c r="E1" s="499"/>
      <c r="F1" s="499"/>
      <c r="G1" s="499"/>
      <c r="H1" s="499"/>
    </row>
    <row r="2" spans="1:12" ht="15" customHeight="1" x14ac:dyDescent="0.2">
      <c r="A2" s="499" t="s">
        <v>298</v>
      </c>
      <c r="B2" s="499"/>
      <c r="C2" s="499"/>
      <c r="D2" s="499"/>
      <c r="E2" s="499"/>
      <c r="F2" s="499"/>
      <c r="G2" s="499"/>
      <c r="H2" s="499"/>
    </row>
    <row r="3" spans="1:12" ht="15" customHeight="1" x14ac:dyDescent="0.2">
      <c r="A3" s="499" t="s">
        <v>250</v>
      </c>
      <c r="B3" s="499"/>
      <c r="C3" s="499"/>
      <c r="D3" s="499"/>
      <c r="E3" s="499"/>
      <c r="F3" s="499"/>
      <c r="G3" s="499"/>
      <c r="H3" s="499"/>
    </row>
    <row r="4" spans="1:12" ht="15" customHeight="1" x14ac:dyDescent="0.2">
      <c r="B4" s="500"/>
      <c r="C4" s="500"/>
      <c r="D4" s="500"/>
      <c r="E4" s="337" t="s">
        <v>251</v>
      </c>
      <c r="F4" s="338">
        <v>2015</v>
      </c>
      <c r="G4" s="339" t="s">
        <v>252</v>
      </c>
    </row>
    <row r="5" spans="1:12" x14ac:dyDescent="0.25">
      <c r="A5" s="340" t="s">
        <v>253</v>
      </c>
      <c r="B5" s="341" t="s">
        <v>254</v>
      </c>
      <c r="C5" s="341" t="s">
        <v>255</v>
      </c>
      <c r="D5" s="341" t="s">
        <v>256</v>
      </c>
      <c r="E5" s="342" t="s">
        <v>257</v>
      </c>
      <c r="F5" s="343" t="s">
        <v>258</v>
      </c>
      <c r="G5" s="342" t="s">
        <v>259</v>
      </c>
      <c r="H5" s="340" t="s">
        <v>219</v>
      </c>
    </row>
    <row r="6" spans="1:12" ht="15" customHeight="1" x14ac:dyDescent="0.2">
      <c r="A6" s="363" t="s">
        <v>220</v>
      </c>
      <c r="B6" s="344">
        <v>0.5</v>
      </c>
      <c r="C6" s="344">
        <v>0.569620253164557</v>
      </c>
      <c r="D6" s="344">
        <v>0.6</v>
      </c>
      <c r="E6" s="344">
        <f>D6-B6</f>
        <v>9.9999999999999978E-2</v>
      </c>
      <c r="F6" s="345">
        <v>80</v>
      </c>
      <c r="G6" s="346">
        <f>IF(E6&gt;0.005,ROUND((E6-0.005)*F6,0),0)</f>
        <v>8</v>
      </c>
      <c r="H6" s="347">
        <f t="shared" ref="H6:H21" si="0">G6*H$47</f>
        <v>32000</v>
      </c>
    </row>
    <row r="7" spans="1:12" ht="15" customHeight="1" x14ac:dyDescent="0.2">
      <c r="A7" s="364" t="s">
        <v>221</v>
      </c>
      <c r="B7" s="349">
        <v>0.60808926080892611</v>
      </c>
      <c r="C7" s="349">
        <v>0.61014492753623184</v>
      </c>
      <c r="D7" s="349">
        <v>0.56690647482014389</v>
      </c>
      <c r="E7" s="349">
        <f t="shared" ref="E7:E46" si="1">D7-B7</f>
        <v>-4.1182785988782222E-2</v>
      </c>
      <c r="F7" s="345">
        <v>695</v>
      </c>
      <c r="G7" s="321">
        <f t="shared" ref="G7:G44" si="2">IF(E7&gt;0.005,ROUND((E7-0.005)*F7,0),0)</f>
        <v>0</v>
      </c>
      <c r="H7" s="350">
        <f t="shared" si="0"/>
        <v>0</v>
      </c>
    </row>
    <row r="8" spans="1:12" ht="15" customHeight="1" x14ac:dyDescent="0.2">
      <c r="A8" s="364" t="s">
        <v>222</v>
      </c>
      <c r="B8" s="349">
        <v>0.58757062146892658</v>
      </c>
      <c r="C8" s="349">
        <v>0.50717703349282295</v>
      </c>
      <c r="D8" s="349">
        <v>0.56372549019607843</v>
      </c>
      <c r="E8" s="349">
        <f t="shared" si="1"/>
        <v>-2.3845131272848152E-2</v>
      </c>
      <c r="F8" s="345">
        <v>204</v>
      </c>
      <c r="G8" s="321">
        <f t="shared" si="2"/>
        <v>0</v>
      </c>
      <c r="H8" s="350">
        <f t="shared" si="0"/>
        <v>0</v>
      </c>
      <c r="L8" s="311">
        <f>G8-I8</f>
        <v>0</v>
      </c>
    </row>
    <row r="9" spans="1:12" ht="15" customHeight="1" x14ac:dyDescent="0.2">
      <c r="A9" s="364" t="s">
        <v>7</v>
      </c>
      <c r="B9" s="349">
        <v>0.50943396226415094</v>
      </c>
      <c r="C9" s="349">
        <v>0.5</v>
      </c>
      <c r="D9" s="349">
        <v>0.52127659574468088</v>
      </c>
      <c r="E9" s="349">
        <f t="shared" si="1"/>
        <v>1.184263348052994E-2</v>
      </c>
      <c r="F9" s="345">
        <v>188</v>
      </c>
      <c r="G9" s="321">
        <f t="shared" si="2"/>
        <v>1</v>
      </c>
      <c r="H9" s="350">
        <f t="shared" si="0"/>
        <v>4000</v>
      </c>
    </row>
    <row r="10" spans="1:12" ht="15" customHeight="1" x14ac:dyDescent="0.2">
      <c r="A10" s="364" t="s">
        <v>9</v>
      </c>
      <c r="B10" s="349">
        <v>0.5621980676328503</v>
      </c>
      <c r="C10" s="349">
        <v>0.58300653594771246</v>
      </c>
      <c r="D10" s="349">
        <v>0.60555149744338932</v>
      </c>
      <c r="E10" s="349">
        <f t="shared" si="1"/>
        <v>4.3353429810539024E-2</v>
      </c>
      <c r="F10" s="345">
        <v>1369</v>
      </c>
      <c r="G10" s="321">
        <f t="shared" si="2"/>
        <v>53</v>
      </c>
      <c r="H10" s="350">
        <f t="shared" si="0"/>
        <v>212000</v>
      </c>
    </row>
    <row r="11" spans="1:12" ht="15" customHeight="1" x14ac:dyDescent="0.2">
      <c r="A11" s="364" t="s">
        <v>223</v>
      </c>
      <c r="B11" s="349">
        <v>0.66153846153846152</v>
      </c>
      <c r="C11" s="349">
        <v>0.5658362989323843</v>
      </c>
      <c r="D11" s="349">
        <v>0.61128526645768022</v>
      </c>
      <c r="E11" s="349">
        <f t="shared" si="1"/>
        <v>-5.0253195080781299E-2</v>
      </c>
      <c r="F11" s="345">
        <v>319</v>
      </c>
      <c r="G11" s="321">
        <f t="shared" si="2"/>
        <v>0</v>
      </c>
      <c r="H11" s="350">
        <f t="shared" si="0"/>
        <v>0</v>
      </c>
    </row>
    <row r="12" spans="1:12" ht="15" customHeight="1" x14ac:dyDescent="0.2">
      <c r="A12" s="364" t="s">
        <v>260</v>
      </c>
      <c r="B12" s="349">
        <v>0.5803108808290155</v>
      </c>
      <c r="C12" s="349">
        <v>0.63057324840764328</v>
      </c>
      <c r="D12" s="349">
        <v>0.57763975155279501</v>
      </c>
      <c r="E12" s="349">
        <f t="shared" si="1"/>
        <v>-2.6711292762204852E-3</v>
      </c>
      <c r="F12" s="345">
        <v>161</v>
      </c>
      <c r="G12" s="321">
        <f t="shared" si="2"/>
        <v>0</v>
      </c>
      <c r="H12" s="350">
        <f t="shared" si="0"/>
        <v>0</v>
      </c>
    </row>
    <row r="13" spans="1:12" ht="15" customHeight="1" x14ac:dyDescent="0.2">
      <c r="A13" s="364" t="s">
        <v>147</v>
      </c>
      <c r="B13" s="349">
        <v>0.66550218340611356</v>
      </c>
      <c r="C13" s="349">
        <v>0.62906137184115518</v>
      </c>
      <c r="D13" s="349">
        <v>0.58578856152513004</v>
      </c>
      <c r="E13" s="349">
        <f t="shared" si="1"/>
        <v>-7.9713621880983521E-2</v>
      </c>
      <c r="F13" s="345">
        <v>1154</v>
      </c>
      <c r="G13" s="321">
        <f t="shared" si="2"/>
        <v>0</v>
      </c>
      <c r="H13" s="350">
        <f t="shared" si="0"/>
        <v>0</v>
      </c>
    </row>
    <row r="14" spans="1:12" ht="15" customHeight="1" x14ac:dyDescent="0.2">
      <c r="A14" s="364" t="s">
        <v>225</v>
      </c>
      <c r="B14" s="349">
        <v>0.5821727019498607</v>
      </c>
      <c r="C14" s="349">
        <v>0.58108108108108103</v>
      </c>
      <c r="D14" s="349">
        <v>0.59090909090909094</v>
      </c>
      <c r="E14" s="349">
        <f t="shared" si="1"/>
        <v>8.7363889592302346E-3</v>
      </c>
      <c r="F14" s="345">
        <v>726</v>
      </c>
      <c r="G14" s="321">
        <f t="shared" si="2"/>
        <v>3</v>
      </c>
      <c r="H14" s="350">
        <f t="shared" si="0"/>
        <v>12000</v>
      </c>
    </row>
    <row r="15" spans="1:12" ht="15" customHeight="1" x14ac:dyDescent="0.2">
      <c r="A15" s="364" t="s">
        <v>17</v>
      </c>
      <c r="B15" s="349">
        <v>0.54814814814814816</v>
      </c>
      <c r="C15" s="349">
        <v>0.55859375</v>
      </c>
      <c r="D15" s="349">
        <v>0.56770833333333337</v>
      </c>
      <c r="E15" s="349">
        <f t="shared" si="1"/>
        <v>1.9560185185185208E-2</v>
      </c>
      <c r="F15" s="345">
        <v>192</v>
      </c>
      <c r="G15" s="321">
        <f t="shared" si="2"/>
        <v>3</v>
      </c>
      <c r="H15" s="350">
        <f t="shared" si="0"/>
        <v>12000</v>
      </c>
    </row>
    <row r="16" spans="1:12" ht="15" customHeight="1" x14ac:dyDescent="0.2">
      <c r="A16" s="366" t="s">
        <v>226</v>
      </c>
      <c r="B16" s="349">
        <v>0.52479815455594003</v>
      </c>
      <c r="C16" s="349">
        <v>0.5228102189781022</v>
      </c>
      <c r="D16" s="349">
        <v>0.53082352941176469</v>
      </c>
      <c r="E16" s="349">
        <f t="shared" si="1"/>
        <v>6.0253748558246611E-3</v>
      </c>
      <c r="F16" s="345">
        <v>2125</v>
      </c>
      <c r="G16" s="321">
        <f t="shared" si="2"/>
        <v>2</v>
      </c>
      <c r="H16" s="350">
        <f t="shared" si="0"/>
        <v>8000</v>
      </c>
    </row>
    <row r="17" spans="1:8" ht="15" customHeight="1" x14ac:dyDescent="0.2">
      <c r="A17" s="364" t="s">
        <v>261</v>
      </c>
      <c r="B17" s="349">
        <v>0.53594771241830064</v>
      </c>
      <c r="C17" s="349">
        <v>0.61151079136690645</v>
      </c>
      <c r="D17" s="349">
        <v>0.5663716814159292</v>
      </c>
      <c r="E17" s="349">
        <f t="shared" si="1"/>
        <v>3.0423968997628559E-2</v>
      </c>
      <c r="F17" s="345">
        <v>113</v>
      </c>
      <c r="G17" s="321">
        <f t="shared" si="2"/>
        <v>3</v>
      </c>
      <c r="H17" s="350">
        <f t="shared" si="0"/>
        <v>12000</v>
      </c>
    </row>
    <row r="18" spans="1:8" ht="15" customHeight="1" x14ac:dyDescent="0.2">
      <c r="A18" s="366" t="s">
        <v>228</v>
      </c>
      <c r="B18" s="349">
        <v>0.5</v>
      </c>
      <c r="C18" s="349">
        <v>0.51287553648068673</v>
      </c>
      <c r="D18" s="349">
        <v>0.54280155642023342</v>
      </c>
      <c r="E18" s="349">
        <f t="shared" si="1"/>
        <v>4.2801556420233422E-2</v>
      </c>
      <c r="F18" s="345">
        <v>514</v>
      </c>
      <c r="G18" s="321">
        <f t="shared" si="2"/>
        <v>19</v>
      </c>
      <c r="H18" s="350">
        <f t="shared" si="0"/>
        <v>76000</v>
      </c>
    </row>
    <row r="19" spans="1:8" ht="15" customHeight="1" x14ac:dyDescent="0.2">
      <c r="A19" s="366" t="s">
        <v>262</v>
      </c>
      <c r="B19" s="349">
        <v>0.62616822429906538</v>
      </c>
      <c r="C19" s="349">
        <v>0.62886597938144329</v>
      </c>
      <c r="D19" s="349">
        <v>0.59895833333333337</v>
      </c>
      <c r="E19" s="349">
        <f t="shared" si="1"/>
        <v>-2.7209890965732009E-2</v>
      </c>
      <c r="F19" s="345">
        <v>192</v>
      </c>
      <c r="G19" s="321">
        <f t="shared" si="2"/>
        <v>0</v>
      </c>
      <c r="H19" s="350">
        <f t="shared" si="0"/>
        <v>0</v>
      </c>
    </row>
    <row r="20" spans="1:8" ht="15" customHeight="1" x14ac:dyDescent="0.2">
      <c r="A20" s="364" t="s">
        <v>137</v>
      </c>
      <c r="B20" s="349">
        <v>0.59409340659340659</v>
      </c>
      <c r="C20" s="349">
        <v>0.61648745519713266</v>
      </c>
      <c r="D20" s="349">
        <v>0.61894736842105258</v>
      </c>
      <c r="E20" s="349">
        <f t="shared" si="1"/>
        <v>2.4853961827645987E-2</v>
      </c>
      <c r="F20" s="345">
        <v>1425</v>
      </c>
      <c r="G20" s="321">
        <f t="shared" si="2"/>
        <v>28</v>
      </c>
      <c r="H20" s="350">
        <f t="shared" si="0"/>
        <v>112000</v>
      </c>
    </row>
    <row r="21" spans="1:8" ht="15" customHeight="1" x14ac:dyDescent="0.2">
      <c r="A21" s="364" t="s">
        <v>138</v>
      </c>
      <c r="B21" s="349">
        <v>0.60226515656229185</v>
      </c>
      <c r="C21" s="349">
        <v>0.57902097902097904</v>
      </c>
      <c r="D21" s="349">
        <v>0.57954545454545459</v>
      </c>
      <c r="E21" s="349">
        <f t="shared" si="1"/>
        <v>-2.2719702016837262E-2</v>
      </c>
      <c r="F21" s="345">
        <v>1320</v>
      </c>
      <c r="G21" s="321">
        <f t="shared" si="2"/>
        <v>0</v>
      </c>
      <c r="H21" s="350">
        <f t="shared" si="0"/>
        <v>0</v>
      </c>
    </row>
    <row r="22" spans="1:8" ht="15" customHeight="1" x14ac:dyDescent="0.2">
      <c r="A22" s="365" t="s">
        <v>63</v>
      </c>
      <c r="B22" s="351">
        <v>0.66019417475728159</v>
      </c>
      <c r="C22" s="351">
        <v>0.62903225806451613</v>
      </c>
      <c r="D22" s="351">
        <v>0.65866666666666662</v>
      </c>
      <c r="E22" s="351">
        <f t="shared" si="1"/>
        <v>-1.5275080906149707E-3</v>
      </c>
      <c r="F22" s="352">
        <f>SUM(F23:F27)</f>
        <v>375</v>
      </c>
      <c r="G22" s="329">
        <f>SUM(G23:G27)</f>
        <v>12</v>
      </c>
      <c r="H22" s="353">
        <f>SUM(H23:H27)</f>
        <v>48000</v>
      </c>
    </row>
    <row r="23" spans="1:8" ht="15" customHeight="1" x14ac:dyDescent="0.2">
      <c r="A23" s="364" t="s">
        <v>263</v>
      </c>
      <c r="B23" s="349">
        <v>0.58024691358024694</v>
      </c>
      <c r="C23" s="349">
        <v>0.57857142857142863</v>
      </c>
      <c r="D23" s="349">
        <v>0.67500000000000004</v>
      </c>
      <c r="E23" s="349">
        <f t="shared" si="1"/>
        <v>9.4753086419753108E-2</v>
      </c>
      <c r="F23" s="345">
        <v>80</v>
      </c>
      <c r="G23" s="321">
        <f t="shared" si="2"/>
        <v>7</v>
      </c>
      <c r="H23" s="350">
        <f t="shared" ref="H23:H36" si="3">G23*H$47</f>
        <v>28000</v>
      </c>
    </row>
    <row r="24" spans="1:8" ht="15" customHeight="1" x14ac:dyDescent="0.2">
      <c r="A24" s="364" t="s">
        <v>264</v>
      </c>
      <c r="B24" s="349">
        <v>0.71296296296296291</v>
      </c>
      <c r="C24" s="349">
        <v>0.69523809523809521</v>
      </c>
      <c r="D24" s="349">
        <v>0.65573770491803274</v>
      </c>
      <c r="E24" s="349">
        <f t="shared" si="1"/>
        <v>-5.7225258044930172E-2</v>
      </c>
      <c r="F24" s="345">
        <v>122</v>
      </c>
      <c r="G24" s="321">
        <f t="shared" si="2"/>
        <v>0</v>
      </c>
      <c r="H24" s="350">
        <f t="shared" si="3"/>
        <v>0</v>
      </c>
    </row>
    <row r="25" spans="1:8" ht="15" customHeight="1" x14ac:dyDescent="0.2">
      <c r="A25" s="364" t="s">
        <v>265</v>
      </c>
      <c r="B25" s="349">
        <v>0.65346534653465349</v>
      </c>
      <c r="C25" s="349">
        <v>0.5436893203883495</v>
      </c>
      <c r="D25" s="349">
        <v>0.59340659340659341</v>
      </c>
      <c r="E25" s="349">
        <f t="shared" si="1"/>
        <v>-6.0058753128060083E-2</v>
      </c>
      <c r="F25" s="345">
        <v>91</v>
      </c>
      <c r="G25" s="321">
        <f t="shared" si="2"/>
        <v>0</v>
      </c>
      <c r="H25" s="350">
        <f t="shared" si="3"/>
        <v>0</v>
      </c>
    </row>
    <row r="26" spans="1:8" ht="15" customHeight="1" x14ac:dyDescent="0.2">
      <c r="A26" s="364" t="s">
        <v>266</v>
      </c>
      <c r="B26" s="349">
        <v>0.65625</v>
      </c>
      <c r="C26" s="349">
        <v>0.68292682926829273</v>
      </c>
      <c r="D26" s="349">
        <v>0.8125</v>
      </c>
      <c r="E26" s="349">
        <f t="shared" si="1"/>
        <v>0.15625</v>
      </c>
      <c r="F26" s="345">
        <v>32</v>
      </c>
      <c r="G26" s="321">
        <f t="shared" si="2"/>
        <v>5</v>
      </c>
      <c r="H26" s="350">
        <f t="shared" si="3"/>
        <v>20000</v>
      </c>
    </row>
    <row r="27" spans="1:8" ht="15" customHeight="1" x14ac:dyDescent="0.2">
      <c r="A27" s="364" t="s">
        <v>267</v>
      </c>
      <c r="B27" s="349">
        <v>0.68965517241379315</v>
      </c>
      <c r="C27" s="349">
        <v>0.77777777777777779</v>
      </c>
      <c r="D27" s="349">
        <v>0.66</v>
      </c>
      <c r="E27" s="349">
        <f t="shared" si="1"/>
        <v>-2.9655172413793118E-2</v>
      </c>
      <c r="F27" s="345">
        <v>50</v>
      </c>
      <c r="G27" s="321">
        <f t="shared" si="2"/>
        <v>0</v>
      </c>
      <c r="H27" s="350">
        <f t="shared" si="3"/>
        <v>0</v>
      </c>
    </row>
    <row r="28" spans="1:8" ht="15" customHeight="1" x14ac:dyDescent="0.2">
      <c r="A28" s="364" t="s">
        <v>268</v>
      </c>
      <c r="B28" s="349">
        <v>0.57471264367816088</v>
      </c>
      <c r="C28" s="349">
        <v>0.6108949416342413</v>
      </c>
      <c r="D28" s="349">
        <v>0.59288537549407117</v>
      </c>
      <c r="E28" s="349">
        <f t="shared" si="1"/>
        <v>1.8172731815910281E-2</v>
      </c>
      <c r="F28" s="345">
        <v>253</v>
      </c>
      <c r="G28" s="321">
        <f t="shared" si="2"/>
        <v>3</v>
      </c>
      <c r="H28" s="350">
        <f t="shared" si="3"/>
        <v>12000</v>
      </c>
    </row>
    <row r="29" spans="1:8" ht="15" customHeight="1" x14ac:dyDescent="0.2">
      <c r="A29" s="364" t="s">
        <v>236</v>
      </c>
      <c r="B29" s="349">
        <v>0.43859649122807015</v>
      </c>
      <c r="C29" s="349">
        <v>0.4823529411764706</v>
      </c>
      <c r="D29" s="349">
        <v>0.39795918367346939</v>
      </c>
      <c r="E29" s="349">
        <f t="shared" si="1"/>
        <v>-4.0637307554600766E-2</v>
      </c>
      <c r="F29" s="345">
        <v>98</v>
      </c>
      <c r="G29" s="321">
        <f t="shared" si="2"/>
        <v>0</v>
      </c>
      <c r="H29" s="350">
        <f t="shared" si="3"/>
        <v>0</v>
      </c>
    </row>
    <row r="30" spans="1:8" ht="15" customHeight="1" x14ac:dyDescent="0.2">
      <c r="A30" s="364" t="s">
        <v>237</v>
      </c>
      <c r="B30" s="349">
        <v>0.46341463414634149</v>
      </c>
      <c r="C30" s="349">
        <v>0.703125</v>
      </c>
      <c r="D30" s="349">
        <v>0.60869565217391308</v>
      </c>
      <c r="E30" s="349">
        <f t="shared" si="1"/>
        <v>0.1452810180275716</v>
      </c>
      <c r="F30" s="345">
        <v>46</v>
      </c>
      <c r="G30" s="321">
        <f t="shared" si="2"/>
        <v>6</v>
      </c>
      <c r="H30" s="350">
        <f t="shared" si="3"/>
        <v>24000</v>
      </c>
    </row>
    <row r="31" spans="1:8" ht="15" customHeight="1" x14ac:dyDescent="0.2">
      <c r="A31" s="364" t="s">
        <v>36</v>
      </c>
      <c r="B31" s="349">
        <v>0.59154929577464788</v>
      </c>
      <c r="C31" s="349">
        <v>0.60311284046692604</v>
      </c>
      <c r="D31" s="349">
        <v>0.56066945606694563</v>
      </c>
      <c r="E31" s="349">
        <f t="shared" si="1"/>
        <v>-3.087983970770225E-2</v>
      </c>
      <c r="F31" s="345">
        <v>239</v>
      </c>
      <c r="G31" s="321">
        <f t="shared" si="2"/>
        <v>0</v>
      </c>
      <c r="H31" s="350">
        <f t="shared" si="3"/>
        <v>0</v>
      </c>
    </row>
    <row r="32" spans="1:8" ht="15" customHeight="1" x14ac:dyDescent="0.2">
      <c r="A32" s="364" t="s">
        <v>136</v>
      </c>
      <c r="B32" s="349">
        <v>0.56153846153846154</v>
      </c>
      <c r="C32" s="349">
        <v>0.54545454545454541</v>
      </c>
      <c r="D32" s="349">
        <v>0.62441314553990612</v>
      </c>
      <c r="E32" s="349">
        <f t="shared" si="1"/>
        <v>6.2874684001444581E-2</v>
      </c>
      <c r="F32" s="345">
        <v>213</v>
      </c>
      <c r="G32" s="321">
        <f t="shared" si="2"/>
        <v>12</v>
      </c>
      <c r="H32" s="350">
        <f t="shared" si="3"/>
        <v>48000</v>
      </c>
    </row>
    <row r="33" spans="1:9" ht="15" customHeight="1" x14ac:dyDescent="0.2">
      <c r="A33" s="348" t="s">
        <v>238</v>
      </c>
      <c r="B33" s="349">
        <v>0.53169014084507038</v>
      </c>
      <c r="C33" s="349">
        <v>0.56081081081081086</v>
      </c>
      <c r="D33" s="349">
        <v>0.52941176470588236</v>
      </c>
      <c r="E33" s="349">
        <f t="shared" si="1"/>
        <v>-2.2783761391880208E-3</v>
      </c>
      <c r="F33" s="345">
        <v>578</v>
      </c>
      <c r="G33" s="321">
        <f t="shared" si="2"/>
        <v>0</v>
      </c>
      <c r="H33" s="350">
        <f t="shared" si="3"/>
        <v>0</v>
      </c>
    </row>
    <row r="34" spans="1:9" ht="15" customHeight="1" x14ac:dyDescent="0.2">
      <c r="A34" s="348" t="s">
        <v>239</v>
      </c>
      <c r="B34" s="349">
        <v>0.50125944584382875</v>
      </c>
      <c r="C34" s="349">
        <v>0.53900709219858156</v>
      </c>
      <c r="D34" s="349">
        <v>0.55672268907563027</v>
      </c>
      <c r="E34" s="349">
        <f t="shared" si="1"/>
        <v>5.5463243231801518E-2</v>
      </c>
      <c r="F34" s="345">
        <v>476</v>
      </c>
      <c r="G34" s="321">
        <f t="shared" si="2"/>
        <v>24</v>
      </c>
      <c r="H34" s="350">
        <f t="shared" si="3"/>
        <v>96000</v>
      </c>
    </row>
    <row r="35" spans="1:9" ht="15" customHeight="1" x14ac:dyDescent="0.2">
      <c r="A35" s="348" t="s">
        <v>70</v>
      </c>
      <c r="B35" s="349">
        <v>0.48590604026845635</v>
      </c>
      <c r="C35" s="349">
        <v>0.49259624876604147</v>
      </c>
      <c r="D35" s="349">
        <v>0.55405405405405406</v>
      </c>
      <c r="E35" s="349">
        <f t="shared" si="1"/>
        <v>6.8148013785597705E-2</v>
      </c>
      <c r="F35" s="345">
        <v>1850</v>
      </c>
      <c r="G35" s="321">
        <f t="shared" si="2"/>
        <v>117</v>
      </c>
      <c r="H35" s="350">
        <f t="shared" si="3"/>
        <v>468000</v>
      </c>
    </row>
    <row r="36" spans="1:9" ht="15" customHeight="1" x14ac:dyDescent="0.2">
      <c r="A36" s="348" t="s">
        <v>122</v>
      </c>
      <c r="B36" s="349">
        <v>0.63366336633663367</v>
      </c>
      <c r="C36" s="349">
        <v>0.62328767123287676</v>
      </c>
      <c r="D36" s="349">
        <v>0.61184210526315785</v>
      </c>
      <c r="E36" s="349">
        <f t="shared" si="1"/>
        <v>-2.1821261073475817E-2</v>
      </c>
      <c r="F36" s="345">
        <v>304</v>
      </c>
      <c r="G36" s="321">
        <f t="shared" si="2"/>
        <v>0</v>
      </c>
      <c r="H36" s="350">
        <f t="shared" si="3"/>
        <v>0</v>
      </c>
    </row>
    <row r="37" spans="1:9" ht="15" customHeight="1" x14ac:dyDescent="0.2">
      <c r="A37" s="354" t="s">
        <v>240</v>
      </c>
      <c r="B37" s="349">
        <v>0.56342094184158298</v>
      </c>
      <c r="C37" s="349">
        <v>0.5665987520692729</v>
      </c>
      <c r="D37" s="349">
        <v>0.57413373660332701</v>
      </c>
      <c r="E37" s="351">
        <f t="shared" si="1"/>
        <v>1.0712794761744027E-2</v>
      </c>
      <c r="F37" s="355">
        <f>SUM(F6:F22,F28:F36)</f>
        <v>15209</v>
      </c>
      <c r="G37" s="329">
        <f>SUM(G6:G22,G28:G36)</f>
        <v>294</v>
      </c>
      <c r="H37" s="356">
        <f>SUM(H6:H22,H28:H36)</f>
        <v>1176000</v>
      </c>
    </row>
    <row r="38" spans="1:9" ht="15" customHeight="1" x14ac:dyDescent="0.2">
      <c r="A38" s="348" t="s">
        <v>241</v>
      </c>
      <c r="B38" s="349">
        <v>0.7441860465116279</v>
      </c>
      <c r="C38" s="349">
        <v>0.76086956521739135</v>
      </c>
      <c r="D38" s="349">
        <v>0.7857142857142857</v>
      </c>
      <c r="E38" s="349">
        <f t="shared" si="1"/>
        <v>4.1528239202657802E-2</v>
      </c>
      <c r="F38" s="345">
        <v>196</v>
      </c>
      <c r="G38" s="321">
        <f t="shared" si="2"/>
        <v>7</v>
      </c>
      <c r="H38" s="350">
        <f t="shared" ref="H38:H45" si="4">G38*H$47</f>
        <v>28000</v>
      </c>
    </row>
    <row r="39" spans="1:9" ht="15" customHeight="1" x14ac:dyDescent="0.2">
      <c r="A39" s="348" t="s">
        <v>148</v>
      </c>
      <c r="B39" s="349">
        <v>0.78481012658227844</v>
      </c>
      <c r="C39" s="349">
        <v>0.78907563025210081</v>
      </c>
      <c r="D39" s="349">
        <v>0.77922077922077926</v>
      </c>
      <c r="E39" s="349">
        <f t="shared" si="1"/>
        <v>-5.5893473614991862E-3</v>
      </c>
      <c r="F39" s="345">
        <v>1232</v>
      </c>
      <c r="G39" s="473">
        <f t="shared" si="2"/>
        <v>0</v>
      </c>
      <c r="H39" s="350">
        <f t="shared" si="4"/>
        <v>0</v>
      </c>
      <c r="I39" s="470">
        <v>0.58917622469614928</v>
      </c>
    </row>
    <row r="40" spans="1:9" ht="15" customHeight="1" x14ac:dyDescent="0.2">
      <c r="A40" s="348" t="s">
        <v>242</v>
      </c>
      <c r="B40" s="349">
        <v>0.81220657276995301</v>
      </c>
      <c r="C40" s="349">
        <v>0.78770949720670391</v>
      </c>
      <c r="D40" s="349">
        <v>0.82568807339449546</v>
      </c>
      <c r="E40" s="349">
        <f t="shared" si="1"/>
        <v>1.3481500624542453E-2</v>
      </c>
      <c r="F40" s="345">
        <v>654</v>
      </c>
      <c r="G40" s="321">
        <f t="shared" si="2"/>
        <v>6</v>
      </c>
      <c r="H40" s="350">
        <f t="shared" si="4"/>
        <v>24000</v>
      </c>
    </row>
    <row r="41" spans="1:9" ht="15" customHeight="1" x14ac:dyDescent="0.2">
      <c r="A41" s="348" t="s">
        <v>243</v>
      </c>
      <c r="B41" s="349">
        <v>0.75630252100840334</v>
      </c>
      <c r="C41" s="349">
        <v>0.72649572649572647</v>
      </c>
      <c r="D41" s="349">
        <v>0.72872340425531912</v>
      </c>
      <c r="E41" s="349">
        <f t="shared" si="1"/>
        <v>-2.7579116753084221E-2</v>
      </c>
      <c r="F41" s="345">
        <v>188</v>
      </c>
      <c r="G41" s="321">
        <f t="shared" si="2"/>
        <v>0</v>
      </c>
      <c r="H41" s="350">
        <f t="shared" si="4"/>
        <v>0</v>
      </c>
    </row>
    <row r="42" spans="1:9" ht="15" customHeight="1" x14ac:dyDescent="0.2">
      <c r="A42" s="348" t="s">
        <v>244</v>
      </c>
      <c r="B42" s="349">
        <v>0.79051987767584098</v>
      </c>
      <c r="C42" s="349">
        <v>0.79220779220779225</v>
      </c>
      <c r="D42" s="349">
        <v>0.82733812949640284</v>
      </c>
      <c r="E42" s="349">
        <f t="shared" si="1"/>
        <v>3.6818251820561865E-2</v>
      </c>
      <c r="F42" s="345">
        <v>695</v>
      </c>
      <c r="G42" s="321">
        <f t="shared" si="2"/>
        <v>22</v>
      </c>
      <c r="H42" s="350">
        <f t="shared" si="4"/>
        <v>88000</v>
      </c>
    </row>
    <row r="43" spans="1:9" ht="15" customHeight="1" x14ac:dyDescent="0.2">
      <c r="A43" s="348" t="s">
        <v>245</v>
      </c>
      <c r="B43" s="349">
        <v>0.76521739130434785</v>
      </c>
      <c r="C43" s="349">
        <v>0.77852348993288589</v>
      </c>
      <c r="D43" s="349">
        <v>0.76724137931034486</v>
      </c>
      <c r="E43" s="349">
        <f t="shared" si="1"/>
        <v>2.0239880059970128E-3</v>
      </c>
      <c r="F43" s="345">
        <v>116</v>
      </c>
      <c r="G43" s="321">
        <f t="shared" si="2"/>
        <v>0</v>
      </c>
      <c r="H43" s="350">
        <f t="shared" si="4"/>
        <v>0</v>
      </c>
    </row>
    <row r="44" spans="1:9" ht="15" customHeight="1" x14ac:dyDescent="0.2">
      <c r="A44" s="348" t="s">
        <v>246</v>
      </c>
      <c r="B44" s="349">
        <v>0.8392857142857143</v>
      </c>
      <c r="C44" s="349">
        <v>0.86234817813765186</v>
      </c>
      <c r="D44" s="349">
        <v>0.86940298507462688</v>
      </c>
      <c r="E44" s="349">
        <f t="shared" si="1"/>
        <v>3.0117270788912576E-2</v>
      </c>
      <c r="F44" s="345">
        <v>268</v>
      </c>
      <c r="G44" s="321">
        <f t="shared" si="2"/>
        <v>7</v>
      </c>
      <c r="H44" s="350">
        <f t="shared" si="4"/>
        <v>28000</v>
      </c>
    </row>
    <row r="45" spans="1:9" ht="15" customHeight="1" x14ac:dyDescent="0.2">
      <c r="A45" s="354" t="s">
        <v>247</v>
      </c>
      <c r="B45" s="351">
        <v>0.79034307496823375</v>
      </c>
      <c r="C45" s="351">
        <v>0.7883693045563549</v>
      </c>
      <c r="D45" s="351">
        <v>0.80262765004478953</v>
      </c>
      <c r="E45" s="351">
        <f t="shared" si="1"/>
        <v>1.2284575076555782E-2</v>
      </c>
      <c r="F45" s="352">
        <f>SUM(F38:F44)</f>
        <v>3349</v>
      </c>
      <c r="G45" s="329">
        <f>SUM(G38:G44)</f>
        <v>42</v>
      </c>
      <c r="H45" s="357">
        <f t="shared" si="4"/>
        <v>168000</v>
      </c>
    </row>
    <row r="46" spans="1:9" ht="15" customHeight="1" x14ac:dyDescent="0.2">
      <c r="A46" s="358" t="s">
        <v>248</v>
      </c>
      <c r="B46" s="359">
        <v>0.59954487989886218</v>
      </c>
      <c r="C46" s="359">
        <v>0.60545110807688263</v>
      </c>
      <c r="D46" s="359">
        <v>0.61536803534863671</v>
      </c>
      <c r="E46" s="359">
        <f t="shared" si="1"/>
        <v>1.5823155449774529E-2</v>
      </c>
      <c r="F46" s="360">
        <f>F37+F45</f>
        <v>18558</v>
      </c>
      <c r="G46" s="361">
        <f>G37+G45</f>
        <v>336</v>
      </c>
      <c r="H46" s="362">
        <f>H37+H45</f>
        <v>1344000</v>
      </c>
    </row>
    <row r="47" spans="1:9" ht="15" customHeight="1" x14ac:dyDescent="0.2">
      <c r="H47" s="336">
        <v>4000</v>
      </c>
    </row>
  </sheetData>
  <mergeCells count="4">
    <mergeCell ref="A1:H1"/>
    <mergeCell ref="A2:H2"/>
    <mergeCell ref="A3:H3"/>
    <mergeCell ref="B4:D4"/>
  </mergeCells>
  <printOptions horizontalCentered="1"/>
  <pageMargins left="0.2" right="0.2" top="0.4" bottom="0.4" header="0.3" footer="0.3"/>
  <pageSetup orientation="portrait" r:id="rId1"/>
  <headerFooter>
    <oddFooter>&amp;LSource: System Office Research - Academic and Student Affairs    January 23, 2017
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66"/>
    <pageSetUpPr fitToPage="1"/>
  </sheetPr>
  <dimension ref="A1:L44"/>
  <sheetViews>
    <sheetView topLeftCell="A13" zoomScale="80" workbookViewId="0">
      <selection activeCell="A43" sqref="A43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2.7109375" customWidth="1"/>
    <col min="8" max="8" width="21.42578125" style="11" customWidth="1"/>
    <col min="10" max="10" width="0" hidden="1" customWidth="1"/>
    <col min="11" max="11" width="14.5703125" hidden="1" customWidth="1"/>
    <col min="12" max="12" width="0" hidden="1" customWidth="1"/>
  </cols>
  <sheetData>
    <row r="1" spans="1:12" ht="15" customHeight="1" x14ac:dyDescent="0.25">
      <c r="A1" s="37" t="s">
        <v>298</v>
      </c>
    </row>
    <row r="2" spans="1:12" ht="15" customHeight="1" x14ac:dyDescent="0.2">
      <c r="A2" s="4" t="s">
        <v>95</v>
      </c>
    </row>
    <row r="3" spans="1:12" ht="15" customHeight="1" x14ac:dyDescent="0.2">
      <c r="A3" s="4" t="s">
        <v>299</v>
      </c>
    </row>
    <row r="5" spans="1:12" ht="15" customHeight="1" x14ac:dyDescent="0.2">
      <c r="H5" s="211" t="s">
        <v>153</v>
      </c>
    </row>
    <row r="6" spans="1:12" ht="15" customHeight="1" x14ac:dyDescent="0.2">
      <c r="C6" s="211" t="s">
        <v>81</v>
      </c>
      <c r="D6" s="211" t="s">
        <v>74</v>
      </c>
      <c r="E6" s="211" t="s">
        <v>75</v>
      </c>
      <c r="F6" s="211" t="s">
        <v>76</v>
      </c>
      <c r="G6" s="211"/>
      <c r="H6" s="33" t="s">
        <v>77</v>
      </c>
    </row>
    <row r="7" spans="1:12" ht="61.5" customHeight="1" x14ac:dyDescent="0.2">
      <c r="A7" s="224" t="s">
        <v>0</v>
      </c>
      <c r="B7" s="225" t="s">
        <v>85</v>
      </c>
      <c r="C7" s="224" t="s">
        <v>154</v>
      </c>
      <c r="D7" s="32" t="s">
        <v>155</v>
      </c>
      <c r="E7" s="34" t="s">
        <v>97</v>
      </c>
      <c r="F7" s="226" t="s">
        <v>124</v>
      </c>
      <c r="H7" s="31" t="s">
        <v>96</v>
      </c>
    </row>
    <row r="8" spans="1:12" ht="15" customHeight="1" x14ac:dyDescent="0.2">
      <c r="B8" s="35"/>
      <c r="D8" s="11"/>
      <c r="F8" s="11"/>
      <c r="L8">
        <f>G8-I8</f>
        <v>0</v>
      </c>
    </row>
    <row r="9" spans="1:12" ht="15" customHeight="1" x14ac:dyDescent="0.2">
      <c r="A9" s="227" t="s">
        <v>2</v>
      </c>
      <c r="B9" s="228" t="s">
        <v>133</v>
      </c>
      <c r="C9" s="229">
        <v>31031.200000000001</v>
      </c>
      <c r="D9" s="229">
        <v>39233.99</v>
      </c>
      <c r="E9" s="229">
        <f>C9+D9</f>
        <v>70265.19</v>
      </c>
      <c r="F9" s="230">
        <f>'Revenue Offset'!G8</f>
        <v>0.48639221315791692</v>
      </c>
      <c r="H9" s="36">
        <f>E9*(1-F9)</f>
        <v>36088.748727938466</v>
      </c>
    </row>
    <row r="10" spans="1:12" s="56" customFormat="1" ht="15" customHeight="1" x14ac:dyDescent="0.2">
      <c r="A10" s="227" t="s">
        <v>4</v>
      </c>
      <c r="B10" s="228" t="s">
        <v>129</v>
      </c>
      <c r="C10" s="231"/>
      <c r="D10" s="232">
        <v>113841.24</v>
      </c>
      <c r="E10" s="229">
        <f t="shared" ref="E10:E38" si="0">C10+D10</f>
        <v>113841.24</v>
      </c>
      <c r="F10" s="230">
        <f>'Revenue Offset'!G9</f>
        <v>0.54453309777645564</v>
      </c>
      <c r="H10" s="36">
        <f t="shared" ref="H10:H38" si="1">E10*(1-F10)</f>
        <v>51850.916928087048</v>
      </c>
    </row>
    <row r="11" spans="1:12" ht="15" customHeight="1" x14ac:dyDescent="0.2">
      <c r="A11" s="227" t="s">
        <v>5</v>
      </c>
      <c r="B11" s="228" t="s">
        <v>118</v>
      </c>
      <c r="C11" s="233">
        <f>67205.66+22296.72</f>
        <v>89502.38</v>
      </c>
      <c r="D11" s="233">
        <f>83696.47+67.67</f>
        <v>83764.14</v>
      </c>
      <c r="E11" s="229">
        <f t="shared" si="0"/>
        <v>173266.52000000002</v>
      </c>
      <c r="F11" s="230">
        <f>'Revenue Offset'!G10</f>
        <v>0.62453757853391123</v>
      </c>
      <c r="H11" s="36">
        <f t="shared" si="1"/>
        <v>65055.067158202502</v>
      </c>
      <c r="K11" s="24"/>
    </row>
    <row r="12" spans="1:12" ht="15" customHeight="1" x14ac:dyDescent="0.2">
      <c r="A12" s="227" t="s">
        <v>6</v>
      </c>
      <c r="B12" s="228" t="s">
        <v>7</v>
      </c>
      <c r="C12" s="229"/>
      <c r="D12" s="229">
        <v>640602.5</v>
      </c>
      <c r="E12" s="229">
        <f t="shared" si="0"/>
        <v>640602.5</v>
      </c>
      <c r="F12" s="230">
        <f>'Revenue Offset'!G11</f>
        <v>0.45051477858043915</v>
      </c>
      <c r="H12" s="36">
        <f t="shared" si="1"/>
        <v>352001.60655442427</v>
      </c>
    </row>
    <row r="13" spans="1:12" ht="15" customHeight="1" x14ac:dyDescent="0.2">
      <c r="A13" s="227" t="s">
        <v>8</v>
      </c>
      <c r="B13" s="228" t="s">
        <v>9</v>
      </c>
      <c r="C13" s="229"/>
      <c r="D13" s="229">
        <v>176313.25</v>
      </c>
      <c r="E13" s="229">
        <f t="shared" si="0"/>
        <v>176313.25</v>
      </c>
      <c r="F13" s="230">
        <f>'Revenue Offset'!G12</f>
        <v>0.55140263148750424</v>
      </c>
      <c r="H13" s="36">
        <f t="shared" si="1"/>
        <v>79093.659983885795</v>
      </c>
    </row>
    <row r="14" spans="1:12" ht="15" customHeight="1" x14ac:dyDescent="0.2">
      <c r="A14" s="227" t="s">
        <v>10</v>
      </c>
      <c r="B14" s="3" t="s">
        <v>161</v>
      </c>
      <c r="C14" s="229"/>
      <c r="D14" s="229">
        <f>367407.3</f>
        <v>367407.3</v>
      </c>
      <c r="E14" s="229">
        <f t="shared" si="0"/>
        <v>367407.3</v>
      </c>
      <c r="F14" s="230">
        <f>'Revenue Offset'!G13</f>
        <v>0.52418938559296724</v>
      </c>
      <c r="H14" s="36">
        <f t="shared" si="1"/>
        <v>174816.293150629</v>
      </c>
    </row>
    <row r="15" spans="1:12" ht="15" customHeight="1" x14ac:dyDescent="0.2">
      <c r="A15" s="227" t="s">
        <v>12</v>
      </c>
      <c r="B15" s="228" t="s">
        <v>13</v>
      </c>
      <c r="C15" s="229">
        <v>8593.4599999999991</v>
      </c>
      <c r="D15" s="229"/>
      <c r="E15" s="229">
        <f t="shared" si="0"/>
        <v>8593.4599999999991</v>
      </c>
      <c r="F15" s="230">
        <f>'Revenue Offset'!G14</f>
        <v>0.44980615125135653</v>
      </c>
      <c r="H15" s="36">
        <f t="shared" si="1"/>
        <v>4728.0688314675181</v>
      </c>
    </row>
    <row r="16" spans="1:12" ht="15" customHeight="1" x14ac:dyDescent="0.2">
      <c r="A16" s="227" t="s">
        <v>14</v>
      </c>
      <c r="B16" s="228" t="s">
        <v>147</v>
      </c>
      <c r="C16" s="229"/>
      <c r="D16" s="229"/>
      <c r="E16" s="229">
        <f t="shared" si="0"/>
        <v>0</v>
      </c>
      <c r="F16" s="230">
        <f>'Revenue Offset'!G15</f>
        <v>0.46982173592688686</v>
      </c>
      <c r="H16" s="36">
        <f t="shared" si="1"/>
        <v>0</v>
      </c>
    </row>
    <row r="17" spans="1:8" ht="15" customHeight="1" x14ac:dyDescent="0.2">
      <c r="A17" s="227" t="s">
        <v>16</v>
      </c>
      <c r="B17" s="228" t="s">
        <v>17</v>
      </c>
      <c r="C17" s="229"/>
      <c r="D17" s="229">
        <v>15345.3</v>
      </c>
      <c r="E17" s="229">
        <f t="shared" si="0"/>
        <v>15345.3</v>
      </c>
      <c r="F17" s="230">
        <f>'Revenue Offset'!G16</f>
        <v>0.51416422428157793</v>
      </c>
      <c r="H17" s="36">
        <f t="shared" si="1"/>
        <v>7455.2957291319017</v>
      </c>
    </row>
    <row r="18" spans="1:8" ht="15" customHeight="1" x14ac:dyDescent="0.2">
      <c r="A18" s="227" t="s">
        <v>18</v>
      </c>
      <c r="B18" s="228" t="s">
        <v>148</v>
      </c>
      <c r="C18" s="229">
        <v>43384.800000000003</v>
      </c>
      <c r="D18" s="229">
        <v>38177.629999999997</v>
      </c>
      <c r="E18" s="229">
        <f t="shared" si="0"/>
        <v>81562.429999999993</v>
      </c>
      <c r="F18" s="230">
        <f>'Revenue Offset'!G17</f>
        <v>0.62836591974304412</v>
      </c>
      <c r="H18" s="36">
        <f t="shared" si="1"/>
        <v>30311.378656572342</v>
      </c>
    </row>
    <row r="19" spans="1:8" ht="15" customHeight="1" x14ac:dyDescent="0.2">
      <c r="A19" s="227" t="s">
        <v>19</v>
      </c>
      <c r="B19" s="228" t="s">
        <v>134</v>
      </c>
      <c r="C19" s="229"/>
      <c r="D19" s="229"/>
      <c r="E19" s="229">
        <f t="shared" si="0"/>
        <v>0</v>
      </c>
      <c r="F19" s="230">
        <f>'Revenue Offset'!G18</f>
        <v>0.53241164777845162</v>
      </c>
      <c r="H19" s="36">
        <f t="shared" si="1"/>
        <v>0</v>
      </c>
    </row>
    <row r="20" spans="1:8" ht="15" customHeight="1" x14ac:dyDescent="0.2">
      <c r="A20" s="227" t="s">
        <v>21</v>
      </c>
      <c r="B20" s="234" t="s">
        <v>203</v>
      </c>
      <c r="C20" s="229"/>
      <c r="D20" s="229"/>
      <c r="E20" s="229">
        <f t="shared" si="0"/>
        <v>0</v>
      </c>
      <c r="F20" s="230">
        <f>'Revenue Offset'!G19</f>
        <v>0.4520282118181288</v>
      </c>
      <c r="H20" s="36">
        <f t="shared" si="1"/>
        <v>0</v>
      </c>
    </row>
    <row r="21" spans="1:8" ht="15" customHeight="1" x14ac:dyDescent="0.2">
      <c r="A21" s="227" t="s">
        <v>114</v>
      </c>
      <c r="B21" s="228" t="s">
        <v>149</v>
      </c>
      <c r="C21" s="229"/>
      <c r="D21" s="229">
        <v>65701.850000000006</v>
      </c>
      <c r="E21" s="229">
        <f t="shared" si="0"/>
        <v>65701.850000000006</v>
      </c>
      <c r="F21" s="230">
        <f>'Revenue Offset'!G20</f>
        <v>0.50552887215666698</v>
      </c>
      <c r="H21" s="36">
        <f t="shared" si="1"/>
        <v>32487.667870893492</v>
      </c>
    </row>
    <row r="22" spans="1:8" ht="15" customHeight="1" x14ac:dyDescent="0.2">
      <c r="A22" s="227" t="s">
        <v>26</v>
      </c>
      <c r="B22" s="228" t="s">
        <v>62</v>
      </c>
      <c r="C22" s="229">
        <v>2784.89</v>
      </c>
      <c r="D22" s="229">
        <v>409790.49</v>
      </c>
      <c r="E22" s="229">
        <f t="shared" si="0"/>
        <v>412575.38</v>
      </c>
      <c r="F22" s="230">
        <f>'Revenue Offset'!G21</f>
        <v>0.57582615107919288</v>
      </c>
      <c r="H22" s="36">
        <f t="shared" si="1"/>
        <v>175003.68690456459</v>
      </c>
    </row>
    <row r="23" spans="1:8" ht="15" customHeight="1" x14ac:dyDescent="0.2">
      <c r="A23" s="227" t="s">
        <v>22</v>
      </c>
      <c r="B23" s="228" t="s">
        <v>23</v>
      </c>
      <c r="C23" s="229">
        <v>1004041.2</v>
      </c>
      <c r="D23" s="229">
        <v>1188683.73</v>
      </c>
      <c r="E23" s="229">
        <f t="shared" si="0"/>
        <v>2192724.9299999997</v>
      </c>
      <c r="F23" s="230">
        <f>'Revenue Offset'!G22</f>
        <v>0.65067460123907328</v>
      </c>
      <c r="H23" s="36">
        <f t="shared" si="1"/>
        <v>765974.51054527506</v>
      </c>
    </row>
    <row r="24" spans="1:8" ht="15" customHeight="1" x14ac:dyDescent="0.2">
      <c r="A24" s="227" t="s">
        <v>24</v>
      </c>
      <c r="B24" s="228" t="s">
        <v>145</v>
      </c>
      <c r="C24" s="229"/>
      <c r="D24" s="229"/>
      <c r="E24" s="229">
        <f t="shared" si="0"/>
        <v>0</v>
      </c>
      <c r="F24" s="230">
        <f>'Revenue Offset'!G23</f>
        <v>0.46447839587742934</v>
      </c>
      <c r="H24" s="36">
        <f t="shared" si="1"/>
        <v>0</v>
      </c>
    </row>
    <row r="25" spans="1:8" ht="15" customHeight="1" x14ac:dyDescent="0.2">
      <c r="A25" s="227" t="s">
        <v>27</v>
      </c>
      <c r="B25" s="228" t="s">
        <v>137</v>
      </c>
      <c r="C25" s="229">
        <v>4281.66</v>
      </c>
      <c r="D25" s="229">
        <v>84044.84</v>
      </c>
      <c r="E25" s="229">
        <f t="shared" si="0"/>
        <v>88326.5</v>
      </c>
      <c r="F25" s="230">
        <f>'Revenue Offset'!G24</f>
        <v>0.60509441794710717</v>
      </c>
      <c r="H25" s="36">
        <f t="shared" si="1"/>
        <v>34880.62789319484</v>
      </c>
    </row>
    <row r="26" spans="1:8" ht="15" customHeight="1" x14ac:dyDescent="0.2">
      <c r="A26" s="227" t="s">
        <v>29</v>
      </c>
      <c r="B26" s="228" t="s">
        <v>138</v>
      </c>
      <c r="C26" s="229">
        <v>6932</v>
      </c>
      <c r="D26" s="229"/>
      <c r="E26" s="229">
        <f t="shared" si="0"/>
        <v>6932</v>
      </c>
      <c r="F26" s="230">
        <f>'Revenue Offset'!G25</f>
        <v>0.57956459714040864</v>
      </c>
      <c r="H26" s="36">
        <f t="shared" si="1"/>
        <v>2914.4582126226874</v>
      </c>
    </row>
    <row r="27" spans="1:8" ht="15" customHeight="1" x14ac:dyDescent="0.2">
      <c r="A27" s="227" t="s">
        <v>123</v>
      </c>
      <c r="B27" s="228" t="s">
        <v>63</v>
      </c>
      <c r="C27" s="233">
        <v>16702.95</v>
      </c>
      <c r="D27" s="233">
        <v>251003.22</v>
      </c>
      <c r="E27" s="229">
        <f t="shared" si="0"/>
        <v>267706.17</v>
      </c>
      <c r="F27" s="230">
        <f>'Revenue Offset'!G26</f>
        <v>0.465784930494264</v>
      </c>
      <c r="H27" s="36">
        <f t="shared" si="1"/>
        <v>143012.67021366436</v>
      </c>
    </row>
    <row r="28" spans="1:8" ht="15" customHeight="1" x14ac:dyDescent="0.2">
      <c r="A28" s="227" t="s">
        <v>31</v>
      </c>
      <c r="B28" s="228" t="s">
        <v>139</v>
      </c>
      <c r="C28" s="229"/>
      <c r="D28" s="229">
        <v>69330.460000000006</v>
      </c>
      <c r="E28" s="229">
        <f t="shared" si="0"/>
        <v>69330.460000000006</v>
      </c>
      <c r="F28" s="230">
        <f>'Revenue Offset'!G27</f>
        <v>0.47057692148940627</v>
      </c>
      <c r="H28" s="36">
        <f t="shared" si="1"/>
        <v>36705.145567755586</v>
      </c>
    </row>
    <row r="29" spans="1:8" ht="15" customHeight="1" x14ac:dyDescent="0.2">
      <c r="A29" s="227" t="s">
        <v>33</v>
      </c>
      <c r="B29" s="228" t="s">
        <v>135</v>
      </c>
      <c r="C29" s="229">
        <v>66233.5</v>
      </c>
      <c r="D29" s="229">
        <v>82861.009999999995</v>
      </c>
      <c r="E29" s="229">
        <f t="shared" si="0"/>
        <v>149094.51</v>
      </c>
      <c r="F29" s="230">
        <f>'Revenue Offset'!G28</f>
        <v>0.41714297750943208</v>
      </c>
      <c r="H29" s="36">
        <f t="shared" si="1"/>
        <v>86900.782168290214</v>
      </c>
    </row>
    <row r="30" spans="1:8" ht="15" customHeight="1" x14ac:dyDescent="0.2">
      <c r="A30" s="227" t="s">
        <v>35</v>
      </c>
      <c r="B30" s="228" t="s">
        <v>36</v>
      </c>
      <c r="C30" s="229"/>
      <c r="D30" s="229"/>
      <c r="E30" s="229">
        <f t="shared" si="0"/>
        <v>0</v>
      </c>
      <c r="F30" s="230">
        <f>'Revenue Offset'!G29</f>
        <v>0.47780491960709021</v>
      </c>
      <c r="H30" s="36">
        <f t="shared" si="1"/>
        <v>0</v>
      </c>
    </row>
    <row r="31" spans="1:8" ht="15" customHeight="1" x14ac:dyDescent="0.2">
      <c r="A31" s="227" t="s">
        <v>37</v>
      </c>
      <c r="B31" s="228" t="s">
        <v>136</v>
      </c>
      <c r="C31" s="229"/>
      <c r="D31" s="229"/>
      <c r="E31" s="229">
        <f t="shared" si="0"/>
        <v>0</v>
      </c>
      <c r="F31" s="230">
        <f>'Revenue Offset'!G30</f>
        <v>0.480358996745472</v>
      </c>
      <c r="H31" s="36">
        <f t="shared" si="1"/>
        <v>0</v>
      </c>
    </row>
    <row r="32" spans="1:8" ht="15" customHeight="1" x14ac:dyDescent="0.2">
      <c r="A32" s="227" t="s">
        <v>39</v>
      </c>
      <c r="B32" s="228" t="s">
        <v>140</v>
      </c>
      <c r="C32" s="229"/>
      <c r="D32" s="229">
        <v>417.63</v>
      </c>
      <c r="E32" s="229">
        <f t="shared" si="0"/>
        <v>417.63</v>
      </c>
      <c r="F32" s="230">
        <f>'Revenue Offset'!G31</f>
        <v>0.56738066513450147</v>
      </c>
      <c r="H32" s="36">
        <f t="shared" si="1"/>
        <v>180.67481281987816</v>
      </c>
    </row>
    <row r="33" spans="1:9" ht="15" customHeight="1" x14ac:dyDescent="0.2">
      <c r="A33" s="227" t="s">
        <v>46</v>
      </c>
      <c r="B33" s="228" t="s">
        <v>70</v>
      </c>
      <c r="C33" s="229">
        <v>116577.53</v>
      </c>
      <c r="D33" s="229"/>
      <c r="E33" s="229">
        <f t="shared" si="0"/>
        <v>116577.53</v>
      </c>
      <c r="F33" s="230">
        <f>'Revenue Offset'!G32</f>
        <v>0.57944309996775789</v>
      </c>
      <c r="H33" s="36">
        <f t="shared" si="1"/>
        <v>49027.484630215702</v>
      </c>
    </row>
    <row r="34" spans="1:9" ht="15" customHeight="1" x14ac:dyDescent="0.2">
      <c r="A34" s="227" t="s">
        <v>41</v>
      </c>
      <c r="B34" s="228" t="s">
        <v>122</v>
      </c>
      <c r="C34" s="229"/>
      <c r="D34" s="229"/>
      <c r="E34" s="229">
        <f t="shared" si="0"/>
        <v>0</v>
      </c>
      <c r="F34" s="230">
        <f>'Revenue Offset'!G33</f>
        <v>0.47099075237597204</v>
      </c>
      <c r="H34" s="36">
        <f t="shared" si="1"/>
        <v>0</v>
      </c>
    </row>
    <row r="35" spans="1:9" ht="15" customHeight="1" x14ac:dyDescent="0.2">
      <c r="A35" s="227" t="s">
        <v>42</v>
      </c>
      <c r="B35" s="228" t="s">
        <v>69</v>
      </c>
      <c r="C35" s="229">
        <v>1983.19</v>
      </c>
      <c r="D35" s="229">
        <v>211498.41</v>
      </c>
      <c r="E35" s="229">
        <f t="shared" si="0"/>
        <v>213481.60000000001</v>
      </c>
      <c r="F35" s="230">
        <f>'Revenue Offset'!G34</f>
        <v>0.55838092240113668</v>
      </c>
      <c r="H35" s="36">
        <f t="shared" si="1"/>
        <v>94277.547276329497</v>
      </c>
    </row>
    <row r="36" spans="1:9" ht="15" customHeight="1" x14ac:dyDescent="0.2">
      <c r="A36" s="227" t="s">
        <v>43</v>
      </c>
      <c r="B36" s="228" t="s">
        <v>44</v>
      </c>
      <c r="C36" s="229">
        <v>1030408</v>
      </c>
      <c r="D36" s="229">
        <v>903314.39</v>
      </c>
      <c r="E36" s="229">
        <f t="shared" si="0"/>
        <v>1933722.3900000001</v>
      </c>
      <c r="F36" s="230">
        <f>'Revenue Offset'!G35</f>
        <v>0.58900048828869056</v>
      </c>
      <c r="H36" s="36">
        <f t="shared" si="1"/>
        <v>794758.95807522628</v>
      </c>
    </row>
    <row r="37" spans="1:9" ht="15" customHeight="1" x14ac:dyDescent="0.2">
      <c r="A37" s="227" t="s">
        <v>45</v>
      </c>
      <c r="B37" s="228" t="s">
        <v>141</v>
      </c>
      <c r="C37" s="229">
        <v>1900</v>
      </c>
      <c r="D37" s="229">
        <v>108334.18</v>
      </c>
      <c r="E37" s="229">
        <f t="shared" si="0"/>
        <v>110234.18</v>
      </c>
      <c r="F37" s="230">
        <f>'Revenue Offset'!G36</f>
        <v>0.56041037842414987</v>
      </c>
      <c r="H37" s="36">
        <f t="shared" si="1"/>
        <v>48457.801470924147</v>
      </c>
    </row>
    <row r="38" spans="1:9" ht="15" customHeight="1" x14ac:dyDescent="0.2">
      <c r="A38" s="227" t="s">
        <v>47</v>
      </c>
      <c r="B38" s="228" t="s">
        <v>48</v>
      </c>
      <c r="C38" s="229">
        <v>75180.350000000006</v>
      </c>
      <c r="D38" s="229">
        <v>181439.4</v>
      </c>
      <c r="E38" s="229">
        <f t="shared" si="0"/>
        <v>256619.75</v>
      </c>
      <c r="F38" s="230">
        <f>'Revenue Offset'!G37</f>
        <v>0.62676893077370865</v>
      </c>
      <c r="H38" s="36">
        <f t="shared" si="1"/>
        <v>95778.463677083579</v>
      </c>
    </row>
    <row r="39" spans="1:9" ht="15" customHeight="1" x14ac:dyDescent="0.2">
      <c r="D39" s="11"/>
      <c r="F39" s="11"/>
      <c r="G39" s="15"/>
      <c r="I39" s="6"/>
    </row>
    <row r="40" spans="1:9" ht="15" customHeight="1" x14ac:dyDescent="0.2">
      <c r="B40" t="s">
        <v>49</v>
      </c>
      <c r="C40" s="235">
        <f>SUM(C9:C39)</f>
        <v>2499537.11</v>
      </c>
      <c r="D40" s="235">
        <f>SUM(D9:D39)</f>
        <v>5031104.96</v>
      </c>
      <c r="E40" s="235">
        <f>SUM(E9:E39)</f>
        <v>7530642.0699999984</v>
      </c>
      <c r="F40" s="236">
        <f>'[4]Revenue Offset (2)'!G40</f>
        <v>0.58953142624222721</v>
      </c>
      <c r="H40" s="235">
        <f>SUM(H9:H39)</f>
        <v>3161761.515039199</v>
      </c>
    </row>
    <row r="42" spans="1:9" ht="15" customHeight="1" x14ac:dyDescent="0.2">
      <c r="A42" s="16" t="str">
        <f>'[3]FY2015 Detail'!B40</f>
        <v>MnSCU Finance Division</v>
      </c>
    </row>
    <row r="43" spans="1:9" ht="15" customHeight="1" x14ac:dyDescent="0.2">
      <c r="A43" s="16" t="s">
        <v>198</v>
      </c>
    </row>
    <row r="44" spans="1:9" ht="15" customHeight="1" x14ac:dyDescent="0.2">
      <c r="A44" s="16"/>
    </row>
  </sheetData>
  <phoneticPr fontId="11" type="noConversion"/>
  <pageMargins left="0.75" right="0.53" top="0.47" bottom="0.28999999999999998" header="0.5" footer="0.28999999999999998"/>
  <pageSetup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-0.249977111117893"/>
    <pageSetUpPr fitToPage="1"/>
  </sheetPr>
  <dimension ref="A1:N47"/>
  <sheetViews>
    <sheetView topLeftCell="A7" workbookViewId="0">
      <selection activeCell="A4" sqref="A4"/>
    </sheetView>
  </sheetViews>
  <sheetFormatPr defaultRowHeight="12.75" x14ac:dyDescent="0.2"/>
  <cols>
    <col min="1" max="1" width="6" style="248" customWidth="1"/>
    <col min="2" max="2" width="31.85546875" style="238" customWidth="1"/>
    <col min="3" max="3" width="14.7109375" style="239" customWidth="1"/>
    <col min="4" max="4" width="11.5703125" style="240" bestFit="1" customWidth="1"/>
    <col min="5" max="5" width="14.7109375" style="240" customWidth="1"/>
    <col min="6" max="6" width="15.140625" style="238" customWidth="1"/>
    <col min="7" max="7" width="17.85546875" style="241" customWidth="1"/>
    <col min="8" max="8" width="2.42578125" style="241" customWidth="1"/>
    <col min="9" max="9" width="10.7109375" style="238" hidden="1" customWidth="1"/>
    <col min="10" max="11" width="9.140625" style="238" hidden="1" customWidth="1"/>
    <col min="12" max="12" width="0" style="238" hidden="1" customWidth="1"/>
    <col min="13" max="16384" width="9.140625" style="238"/>
  </cols>
  <sheetData>
    <row r="1" spans="1:14" ht="15.75" x14ac:dyDescent="0.25">
      <c r="A1" s="237" t="s">
        <v>298</v>
      </c>
    </row>
    <row r="2" spans="1:14" x14ac:dyDescent="0.2">
      <c r="A2" s="242" t="s">
        <v>98</v>
      </c>
    </row>
    <row r="3" spans="1:14" x14ac:dyDescent="0.2">
      <c r="A3" s="242" t="s">
        <v>318</v>
      </c>
    </row>
    <row r="4" spans="1:14" s="244" customFormat="1" ht="12.75" customHeight="1" x14ac:dyDescent="0.2">
      <c r="A4" s="243" t="s">
        <v>173</v>
      </c>
      <c r="C4" s="245"/>
      <c r="D4" s="246"/>
      <c r="E4" s="246" t="s">
        <v>99</v>
      </c>
      <c r="G4" s="247" t="s">
        <v>174</v>
      </c>
      <c r="H4" s="247"/>
    </row>
    <row r="5" spans="1:14" x14ac:dyDescent="0.2">
      <c r="C5" s="245" t="s">
        <v>81</v>
      </c>
      <c r="D5" s="246" t="s">
        <v>74</v>
      </c>
      <c r="E5" s="246" t="s">
        <v>175</v>
      </c>
      <c r="F5" s="244" t="s">
        <v>76</v>
      </c>
      <c r="G5" s="247" t="s">
        <v>77</v>
      </c>
      <c r="H5" s="247"/>
    </row>
    <row r="6" spans="1:14" s="255" customFormat="1" ht="47.25" x14ac:dyDescent="0.25">
      <c r="A6" s="249" t="s">
        <v>0</v>
      </c>
      <c r="B6" s="249" t="s">
        <v>1</v>
      </c>
      <c r="C6" s="250" t="s">
        <v>176</v>
      </c>
      <c r="D6" s="251" t="s">
        <v>100</v>
      </c>
      <c r="E6" s="251" t="s">
        <v>101</v>
      </c>
      <c r="F6" s="252" t="s">
        <v>177</v>
      </c>
      <c r="G6" s="254" t="s">
        <v>124</v>
      </c>
      <c r="H6" s="253"/>
      <c r="I6" s="254" t="s">
        <v>309</v>
      </c>
    </row>
    <row r="7" spans="1:14" s="255" customFormat="1" x14ac:dyDescent="0.2">
      <c r="A7" s="124"/>
      <c r="B7" s="124"/>
      <c r="C7" s="213"/>
      <c r="D7" s="257"/>
      <c r="E7" s="257"/>
      <c r="G7" s="258"/>
      <c r="H7" s="258"/>
    </row>
    <row r="8" spans="1:14" x14ac:dyDescent="0.2">
      <c r="A8" s="259" t="s">
        <v>2</v>
      </c>
      <c r="B8" s="260" t="s">
        <v>133</v>
      </c>
      <c r="C8" s="261">
        <v>22204822.98</v>
      </c>
      <c r="D8" s="262">
        <v>1045644.17</v>
      </c>
      <c r="E8" s="263">
        <f t="shared" ref="E8:E37" si="0">C8-D8</f>
        <v>21159178.809999999</v>
      </c>
      <c r="F8" s="264">
        <v>10867519</v>
      </c>
      <c r="G8" s="479">
        <f>(E8-F8)/E8</f>
        <v>0.48639221315791692</v>
      </c>
      <c r="H8" s="265"/>
      <c r="I8" s="266">
        <v>0.5359352806171559</v>
      </c>
      <c r="J8" s="155">
        <v>0.51474923273857542</v>
      </c>
      <c r="K8" s="308">
        <f>G8-J8</f>
        <v>-2.8357019580658505E-2</v>
      </c>
      <c r="L8" s="155">
        <f>G8-I8</f>
        <v>-4.9543067459238976E-2</v>
      </c>
      <c r="M8" s="241"/>
      <c r="N8" s="241"/>
    </row>
    <row r="9" spans="1:14" x14ac:dyDescent="0.2">
      <c r="A9" s="259" t="s">
        <v>4</v>
      </c>
      <c r="B9" s="260" t="s">
        <v>129</v>
      </c>
      <c r="C9" s="261">
        <v>62898759.619999997</v>
      </c>
      <c r="D9" s="262">
        <v>571381.14</v>
      </c>
      <c r="E9" s="263">
        <f t="shared" si="0"/>
        <v>62327378.479999997</v>
      </c>
      <c r="F9" s="264">
        <v>28388058</v>
      </c>
      <c r="G9" s="479">
        <f t="shared" ref="G9:G37" si="1">(E9-F9)/E9</f>
        <v>0.54453309777645564</v>
      </c>
      <c r="H9" s="265"/>
      <c r="I9" s="266">
        <v>0.60498680383745629</v>
      </c>
      <c r="J9" s="241">
        <v>0.57343751318854164</v>
      </c>
      <c r="K9" s="308">
        <f t="shared" ref="K9:K37" si="2">G9-J9</f>
        <v>-2.8904415412085993E-2</v>
      </c>
      <c r="L9" s="155">
        <f t="shared" ref="L9:L37" si="3">G9-I9</f>
        <v>-6.0453706061000645E-2</v>
      </c>
    </row>
    <row r="10" spans="1:14" x14ac:dyDescent="0.2">
      <c r="A10" s="259" t="s">
        <v>5</v>
      </c>
      <c r="B10" s="260" t="s">
        <v>118</v>
      </c>
      <c r="C10" s="267">
        <v>66186010</v>
      </c>
      <c r="D10" s="262">
        <v>2299659.2000000002</v>
      </c>
      <c r="E10" s="263">
        <f t="shared" si="0"/>
        <v>63886350.799999997</v>
      </c>
      <c r="F10" s="264">
        <v>23986923.969999999</v>
      </c>
      <c r="G10" s="479">
        <f t="shared" si="1"/>
        <v>0.62453757853391123</v>
      </c>
      <c r="H10" s="265"/>
      <c r="I10" s="266">
        <v>0.626062846721125</v>
      </c>
      <c r="J10" s="155">
        <v>0.63660602904699226</v>
      </c>
      <c r="K10" s="308">
        <f t="shared" si="2"/>
        <v>-1.206845051308103E-2</v>
      </c>
      <c r="L10" s="155">
        <f t="shared" si="3"/>
        <v>-1.5252681872137686E-3</v>
      </c>
    </row>
    <row r="11" spans="1:14" x14ac:dyDescent="0.2">
      <c r="A11" s="259" t="s">
        <v>6</v>
      </c>
      <c r="B11" s="260" t="s">
        <v>7</v>
      </c>
      <c r="C11" s="261">
        <v>27988652.960000001</v>
      </c>
      <c r="D11" s="262">
        <v>614479.80000000005</v>
      </c>
      <c r="E11" s="263">
        <f t="shared" si="0"/>
        <v>27374173.16</v>
      </c>
      <c r="F11" s="264">
        <v>15041703.6</v>
      </c>
      <c r="G11" s="479">
        <f t="shared" si="1"/>
        <v>0.45051477858043915</v>
      </c>
      <c r="H11" s="265"/>
      <c r="I11" s="266">
        <v>0.54728565389201389</v>
      </c>
      <c r="J11" s="241">
        <v>0.5112611248779686</v>
      </c>
      <c r="K11" s="308">
        <f t="shared" si="2"/>
        <v>-6.0746346297529452E-2</v>
      </c>
      <c r="L11" s="155">
        <f t="shared" si="3"/>
        <v>-9.6770875311574744E-2</v>
      </c>
    </row>
    <row r="12" spans="1:14" x14ac:dyDescent="0.2">
      <c r="A12" s="259" t="s">
        <v>8</v>
      </c>
      <c r="B12" s="260" t="s">
        <v>9</v>
      </c>
      <c r="C12" s="261">
        <v>57915968.119999997</v>
      </c>
      <c r="D12" s="262">
        <v>407961.05</v>
      </c>
      <c r="E12" s="263">
        <f t="shared" si="0"/>
        <v>57508007.07</v>
      </c>
      <c r="F12" s="264">
        <v>25797940.640000001</v>
      </c>
      <c r="G12" s="479">
        <f t="shared" si="1"/>
        <v>0.55140263148750424</v>
      </c>
      <c r="H12" s="265"/>
      <c r="I12" s="266">
        <v>0.61632399418779105</v>
      </c>
      <c r="J12" s="241">
        <v>0.59866366130449222</v>
      </c>
      <c r="K12" s="308">
        <f t="shared" si="2"/>
        <v>-4.7261029816987987E-2</v>
      </c>
      <c r="L12" s="155">
        <f t="shared" si="3"/>
        <v>-6.4921362700286811E-2</v>
      </c>
    </row>
    <row r="13" spans="1:14" x14ac:dyDescent="0.2">
      <c r="A13" s="259" t="s">
        <v>10</v>
      </c>
      <c r="B13" s="3" t="s">
        <v>161</v>
      </c>
      <c r="C13" s="261">
        <v>55853731.159999996</v>
      </c>
      <c r="D13" s="262">
        <v>731112.61</v>
      </c>
      <c r="E13" s="263">
        <f t="shared" si="0"/>
        <v>55122618.549999997</v>
      </c>
      <c r="F13" s="264">
        <v>26227927</v>
      </c>
      <c r="G13" s="479">
        <f t="shared" si="1"/>
        <v>0.52418938559296724</v>
      </c>
      <c r="H13" s="265"/>
      <c r="I13" s="266">
        <v>0.56563333609048794</v>
      </c>
      <c r="J13" s="241">
        <v>0.56971061480707663</v>
      </c>
      <c r="K13" s="308">
        <f t="shared" si="2"/>
        <v>-4.5521229214109393E-2</v>
      </c>
      <c r="L13" s="155">
        <f t="shared" si="3"/>
        <v>-4.1443950497520698E-2</v>
      </c>
    </row>
    <row r="14" spans="1:14" x14ac:dyDescent="0.2">
      <c r="A14" s="259" t="s">
        <v>12</v>
      </c>
      <c r="B14" s="260" t="s">
        <v>13</v>
      </c>
      <c r="C14" s="261">
        <v>9621195.3200000003</v>
      </c>
      <c r="D14" s="262">
        <v>15773.5</v>
      </c>
      <c r="E14" s="263">
        <f t="shared" si="0"/>
        <v>9605421.8200000003</v>
      </c>
      <c r="F14" s="264">
        <v>5284844</v>
      </c>
      <c r="G14" s="479">
        <f t="shared" si="1"/>
        <v>0.44980615125135653</v>
      </c>
      <c r="H14" s="265"/>
      <c r="I14" s="266">
        <v>0.53716253548001791</v>
      </c>
      <c r="J14" s="241">
        <v>0.48928192492699873</v>
      </c>
      <c r="K14" s="308">
        <f t="shared" si="2"/>
        <v>-3.9475773675642201E-2</v>
      </c>
      <c r="L14" s="155">
        <f t="shared" si="3"/>
        <v>-8.7356384228661377E-2</v>
      </c>
    </row>
    <row r="15" spans="1:14" x14ac:dyDescent="0.2">
      <c r="A15" s="259" t="s">
        <v>14</v>
      </c>
      <c r="B15" s="260" t="s">
        <v>147</v>
      </c>
      <c r="C15" s="261">
        <v>42132126.090000004</v>
      </c>
      <c r="D15" s="262">
        <v>1384017.55</v>
      </c>
      <c r="E15" s="263">
        <f t="shared" si="0"/>
        <v>40748108.540000007</v>
      </c>
      <c r="F15" s="264">
        <v>21603761.449999999</v>
      </c>
      <c r="G15" s="479">
        <f t="shared" si="1"/>
        <v>0.46982173592688686</v>
      </c>
      <c r="H15" s="265"/>
      <c r="I15" s="266">
        <v>0.52857921921047757</v>
      </c>
      <c r="J15" s="241">
        <v>0.51040331784579618</v>
      </c>
      <c r="K15" s="308">
        <f t="shared" si="2"/>
        <v>-4.0581581918909315E-2</v>
      </c>
      <c r="L15" s="155">
        <f t="shared" si="3"/>
        <v>-5.8757483283590706E-2</v>
      </c>
    </row>
    <row r="16" spans="1:14" x14ac:dyDescent="0.2">
      <c r="A16" s="259" t="s">
        <v>16</v>
      </c>
      <c r="B16" s="260" t="s">
        <v>17</v>
      </c>
      <c r="C16" s="261">
        <v>32999867.870000001</v>
      </c>
      <c r="D16" s="262">
        <v>1856666.08</v>
      </c>
      <c r="E16" s="263">
        <f t="shared" si="0"/>
        <v>31143201.789999999</v>
      </c>
      <c r="F16" s="264">
        <v>15130481.6</v>
      </c>
      <c r="G16" s="479">
        <f t="shared" si="1"/>
        <v>0.51416422428157793</v>
      </c>
      <c r="H16" s="265"/>
      <c r="I16" s="266">
        <v>0.53156842626075473</v>
      </c>
      <c r="J16" s="241">
        <v>0.54757472851747147</v>
      </c>
      <c r="K16" s="308">
        <f t="shared" si="2"/>
        <v>-3.3410504235893534E-2</v>
      </c>
      <c r="L16" s="155">
        <f t="shared" si="3"/>
        <v>-1.7404201979176803E-2</v>
      </c>
    </row>
    <row r="17" spans="1:12" x14ac:dyDescent="0.2">
      <c r="A17" s="259" t="s">
        <v>18</v>
      </c>
      <c r="B17" s="260" t="s">
        <v>148</v>
      </c>
      <c r="C17" s="261">
        <v>74071450.430000007</v>
      </c>
      <c r="D17" s="262">
        <v>428320.12</v>
      </c>
      <c r="E17" s="263">
        <f t="shared" si="0"/>
        <v>73643130.310000002</v>
      </c>
      <c r="F17" s="264">
        <v>27368297</v>
      </c>
      <c r="G17" s="479">
        <f t="shared" si="1"/>
        <v>0.62836591974304412</v>
      </c>
      <c r="H17" s="265"/>
      <c r="I17" s="266">
        <v>0.57975633749561317</v>
      </c>
      <c r="J17" s="241">
        <v>0.64453035927443159</v>
      </c>
      <c r="K17" s="308">
        <f t="shared" si="2"/>
        <v>-1.6164439531387464E-2</v>
      </c>
      <c r="L17" s="155">
        <f t="shared" si="3"/>
        <v>4.8609582247430949E-2</v>
      </c>
    </row>
    <row r="18" spans="1:12" x14ac:dyDescent="0.2">
      <c r="A18" s="259" t="s">
        <v>19</v>
      </c>
      <c r="B18" s="260" t="s">
        <v>134</v>
      </c>
      <c r="C18" s="261">
        <v>54995473.880000003</v>
      </c>
      <c r="D18" s="262">
        <v>22100.66</v>
      </c>
      <c r="E18" s="263">
        <f t="shared" si="0"/>
        <v>54973373.220000006</v>
      </c>
      <c r="F18" s="264">
        <v>25704909</v>
      </c>
      <c r="G18" s="479">
        <f t="shared" si="1"/>
        <v>0.53241164777845162</v>
      </c>
      <c r="H18" s="265"/>
      <c r="I18" s="266">
        <v>0.60927954217116709</v>
      </c>
      <c r="J18" s="241">
        <v>0.56874061882863103</v>
      </c>
      <c r="K18" s="308">
        <f t="shared" si="2"/>
        <v>-3.6328971050179404E-2</v>
      </c>
      <c r="L18" s="155">
        <f t="shared" si="3"/>
        <v>-7.6867894392715463E-2</v>
      </c>
    </row>
    <row r="19" spans="1:12" x14ac:dyDescent="0.2">
      <c r="A19" s="259" t="s">
        <v>21</v>
      </c>
      <c r="B19" s="268" t="s">
        <v>203</v>
      </c>
      <c r="C19" s="261">
        <v>16318989.140000001</v>
      </c>
      <c r="D19" s="262">
        <v>227157.06</v>
      </c>
      <c r="E19" s="263">
        <f t="shared" si="0"/>
        <v>16091832.08</v>
      </c>
      <c r="F19" s="264">
        <v>8817870</v>
      </c>
      <c r="G19" s="479">
        <f>(E19-F19)/E19</f>
        <v>0.4520282118181288</v>
      </c>
      <c r="H19" s="265"/>
      <c r="I19" s="266">
        <v>0.48747669235101038</v>
      </c>
      <c r="J19" s="241">
        <v>0.50075361047113398</v>
      </c>
      <c r="K19" s="308">
        <f t="shared" si="2"/>
        <v>-4.8725398653005181E-2</v>
      </c>
      <c r="L19" s="155">
        <f t="shared" si="3"/>
        <v>-3.5448480532881577E-2</v>
      </c>
    </row>
    <row r="20" spans="1:12" x14ac:dyDescent="0.2">
      <c r="A20" s="269" t="s">
        <v>114</v>
      </c>
      <c r="B20" s="260" t="s">
        <v>149</v>
      </c>
      <c r="C20" s="261">
        <v>44100730.380000003</v>
      </c>
      <c r="D20" s="262">
        <v>685044.83</v>
      </c>
      <c r="E20" s="263">
        <f>C20-D20</f>
        <v>43415685.550000004</v>
      </c>
      <c r="F20" s="264">
        <v>21467803</v>
      </c>
      <c r="G20" s="479">
        <f t="shared" si="1"/>
        <v>0.50552887215666698</v>
      </c>
      <c r="H20" s="265"/>
      <c r="I20" s="266">
        <v>0.54156197426482311</v>
      </c>
      <c r="J20" s="241">
        <v>0.54086106176664195</v>
      </c>
      <c r="K20" s="308">
        <f t="shared" si="2"/>
        <v>-3.5332189609974973E-2</v>
      </c>
      <c r="L20" s="155">
        <f t="shared" si="3"/>
        <v>-3.6033102108156134E-2</v>
      </c>
    </row>
    <row r="21" spans="1:12" x14ac:dyDescent="0.2">
      <c r="A21" s="259" t="s">
        <v>26</v>
      </c>
      <c r="B21" s="260" t="s">
        <v>62</v>
      </c>
      <c r="C21" s="261">
        <v>73383168.049999997</v>
      </c>
      <c r="D21" s="262">
        <v>146776.70000000001</v>
      </c>
      <c r="E21" s="263">
        <f t="shared" si="0"/>
        <v>73236391.349999994</v>
      </c>
      <c r="F21" s="264">
        <v>31064962</v>
      </c>
      <c r="G21" s="479">
        <f t="shared" si="1"/>
        <v>0.57582615107919288</v>
      </c>
      <c r="H21" s="265"/>
      <c r="I21" s="266">
        <v>0.59059776488770976</v>
      </c>
      <c r="J21" s="241">
        <v>0.59871754240524477</v>
      </c>
      <c r="K21" s="308">
        <f t="shared" si="2"/>
        <v>-2.2891391326051891E-2</v>
      </c>
      <c r="L21" s="155">
        <f t="shared" si="3"/>
        <v>-1.4771613808516881E-2</v>
      </c>
    </row>
    <row r="22" spans="1:12" x14ac:dyDescent="0.2">
      <c r="A22" s="259" t="s">
        <v>22</v>
      </c>
      <c r="B22" s="260" t="s">
        <v>23</v>
      </c>
      <c r="C22" s="261">
        <v>170712985.63999999</v>
      </c>
      <c r="D22" s="262">
        <v>4495218.75</v>
      </c>
      <c r="E22" s="263">
        <f t="shared" si="0"/>
        <v>166217766.88999999</v>
      </c>
      <c r="F22" s="264">
        <v>58064087.700000003</v>
      </c>
      <c r="G22" s="479">
        <f t="shared" si="1"/>
        <v>0.65067460123907328</v>
      </c>
      <c r="H22" s="265"/>
      <c r="I22" s="266">
        <v>0.66441885080407515</v>
      </c>
      <c r="J22" s="241">
        <v>0.6590747666741551</v>
      </c>
      <c r="K22" s="308">
        <f t="shared" si="2"/>
        <v>-8.4001654350818189E-3</v>
      </c>
      <c r="L22" s="155">
        <f t="shared" si="3"/>
        <v>-1.3744249565001865E-2</v>
      </c>
    </row>
    <row r="23" spans="1:12" x14ac:dyDescent="0.2">
      <c r="A23" s="259" t="s">
        <v>24</v>
      </c>
      <c r="B23" s="260" t="s">
        <v>145</v>
      </c>
      <c r="C23" s="261">
        <v>23193180.100000001</v>
      </c>
      <c r="D23" s="262">
        <v>264818.46999999997</v>
      </c>
      <c r="E23" s="263">
        <f t="shared" si="0"/>
        <v>22928361.630000003</v>
      </c>
      <c r="F23" s="264">
        <v>12278633</v>
      </c>
      <c r="G23" s="479">
        <f t="shared" si="1"/>
        <v>0.46447839587742934</v>
      </c>
      <c r="H23" s="265"/>
      <c r="I23" s="266">
        <v>0.51254532218198412</v>
      </c>
      <c r="J23" s="241">
        <v>0.48975062711073852</v>
      </c>
      <c r="K23" s="308">
        <f t="shared" si="2"/>
        <v>-2.5272231233309184E-2</v>
      </c>
      <c r="L23" s="155">
        <f t="shared" si="3"/>
        <v>-4.806692630455478E-2</v>
      </c>
    </row>
    <row r="24" spans="1:12" x14ac:dyDescent="0.2">
      <c r="A24" s="259" t="s">
        <v>27</v>
      </c>
      <c r="B24" s="260" t="s">
        <v>137</v>
      </c>
      <c r="C24" s="261">
        <v>59299042.270000003</v>
      </c>
      <c r="D24" s="262">
        <v>229737.96</v>
      </c>
      <c r="E24" s="263">
        <f t="shared" si="0"/>
        <v>59069304.310000002</v>
      </c>
      <c r="F24" s="264">
        <v>23326798</v>
      </c>
      <c r="G24" s="479">
        <f t="shared" si="1"/>
        <v>0.60509441794710717</v>
      </c>
      <c r="H24" s="265"/>
      <c r="I24" s="266">
        <v>0.64364123513885774</v>
      </c>
      <c r="J24" s="241">
        <v>0.6353010565076096</v>
      </c>
      <c r="K24" s="308">
        <f t="shared" si="2"/>
        <v>-3.020663856050243E-2</v>
      </c>
      <c r="L24" s="155">
        <f t="shared" si="3"/>
        <v>-3.8546817191750571E-2</v>
      </c>
    </row>
    <row r="25" spans="1:12" x14ac:dyDescent="0.2">
      <c r="A25" s="259" t="s">
        <v>29</v>
      </c>
      <c r="B25" s="260" t="s">
        <v>138</v>
      </c>
      <c r="C25" s="261">
        <v>40805428.729999997</v>
      </c>
      <c r="D25" s="262">
        <v>99194.47</v>
      </c>
      <c r="E25" s="263">
        <f t="shared" si="0"/>
        <v>40706234.259999998</v>
      </c>
      <c r="F25" s="264">
        <v>17114342</v>
      </c>
      <c r="G25" s="479">
        <f t="shared" si="1"/>
        <v>0.57956459714040864</v>
      </c>
      <c r="H25" s="265"/>
      <c r="I25" s="266">
        <v>0.58457424457278995</v>
      </c>
      <c r="J25" s="241">
        <v>0.62039385257257962</v>
      </c>
      <c r="K25" s="308">
        <f t="shared" si="2"/>
        <v>-4.0829255432170974E-2</v>
      </c>
      <c r="L25" s="155">
        <f t="shared" si="3"/>
        <v>-5.0096474323813034E-3</v>
      </c>
    </row>
    <row r="26" spans="1:12" x14ac:dyDescent="0.2">
      <c r="A26" s="269" t="s">
        <v>123</v>
      </c>
      <c r="B26" s="260" t="s">
        <v>63</v>
      </c>
      <c r="C26" s="267">
        <v>40430866.280000001</v>
      </c>
      <c r="D26" s="262">
        <v>657253.23</v>
      </c>
      <c r="E26" s="263">
        <f t="shared" si="0"/>
        <v>39773613.050000004</v>
      </c>
      <c r="F26" s="264">
        <v>21247663.460000001</v>
      </c>
      <c r="G26" s="479">
        <f t="shared" si="1"/>
        <v>0.465784930494264</v>
      </c>
      <c r="H26" s="265"/>
      <c r="I26" s="266">
        <v>0.49179006686944149</v>
      </c>
      <c r="J26" s="241">
        <v>0.50071480404310387</v>
      </c>
      <c r="K26" s="308">
        <f t="shared" si="2"/>
        <v>-3.4929873548839863E-2</v>
      </c>
      <c r="L26" s="155">
        <f t="shared" si="3"/>
        <v>-2.6005136375177484E-2</v>
      </c>
    </row>
    <row r="27" spans="1:12" x14ac:dyDescent="0.2">
      <c r="A27" s="270" t="s">
        <v>115</v>
      </c>
      <c r="B27" s="260" t="s">
        <v>139</v>
      </c>
      <c r="C27" s="261">
        <v>25539293.289999999</v>
      </c>
      <c r="D27" s="262">
        <v>904786.41</v>
      </c>
      <c r="E27" s="263">
        <f t="shared" si="0"/>
        <v>24634506.879999999</v>
      </c>
      <c r="F27" s="264">
        <v>13042076.470000001</v>
      </c>
      <c r="G27" s="479">
        <f t="shared" si="1"/>
        <v>0.47057692148940627</v>
      </c>
      <c r="H27" s="265"/>
      <c r="I27" s="266">
        <v>0.51828060700799883</v>
      </c>
      <c r="J27" s="241">
        <v>0.512167101586678</v>
      </c>
      <c r="K27" s="308">
        <f t="shared" si="2"/>
        <v>-4.1590180097271723E-2</v>
      </c>
      <c r="L27" s="155">
        <f t="shared" si="3"/>
        <v>-4.7703685518592553E-2</v>
      </c>
    </row>
    <row r="28" spans="1:12" x14ac:dyDescent="0.2">
      <c r="A28" s="259" t="s">
        <v>33</v>
      </c>
      <c r="B28" s="260" t="s">
        <v>135</v>
      </c>
      <c r="C28" s="261">
        <v>6728962.2800000003</v>
      </c>
      <c r="D28" s="262">
        <v>81174.64</v>
      </c>
      <c r="E28" s="263">
        <f t="shared" si="0"/>
        <v>6647787.6400000006</v>
      </c>
      <c r="F28" s="264">
        <v>3874709.71</v>
      </c>
      <c r="G28" s="479">
        <f t="shared" si="1"/>
        <v>0.41714297750943208</v>
      </c>
      <c r="H28" s="265"/>
      <c r="I28" s="266">
        <v>0.56500392293571977</v>
      </c>
      <c r="J28" s="241">
        <v>0.53729521986746287</v>
      </c>
      <c r="K28" s="308">
        <f t="shared" si="2"/>
        <v>-0.12015224235803079</v>
      </c>
      <c r="L28" s="155">
        <f t="shared" si="3"/>
        <v>-0.14786094542628769</v>
      </c>
    </row>
    <row r="29" spans="1:12" x14ac:dyDescent="0.2">
      <c r="A29" s="259" t="s">
        <v>35</v>
      </c>
      <c r="B29" s="260" t="s">
        <v>36</v>
      </c>
      <c r="C29" s="261">
        <v>31140045.850000001</v>
      </c>
      <c r="D29" s="262">
        <v>742086.57</v>
      </c>
      <c r="E29" s="263">
        <f t="shared" si="0"/>
        <v>30397959.280000001</v>
      </c>
      <c r="F29" s="264">
        <v>15873664.789999999</v>
      </c>
      <c r="G29" s="479">
        <f t="shared" si="1"/>
        <v>0.47780491960709021</v>
      </c>
      <c r="H29" s="265"/>
      <c r="I29" s="266">
        <v>0.51995381790586437</v>
      </c>
      <c r="J29" s="241">
        <v>0.50691402752097514</v>
      </c>
      <c r="K29" s="308">
        <f t="shared" si="2"/>
        <v>-2.9109107913884935E-2</v>
      </c>
      <c r="L29" s="155">
        <f t="shared" si="3"/>
        <v>-4.2148898298774162E-2</v>
      </c>
    </row>
    <row r="30" spans="1:12" x14ac:dyDescent="0.2">
      <c r="A30" s="259" t="s">
        <v>37</v>
      </c>
      <c r="B30" s="260" t="s">
        <v>136</v>
      </c>
      <c r="C30" s="261">
        <v>23159133.890000001</v>
      </c>
      <c r="D30" s="262">
        <v>506147.47</v>
      </c>
      <c r="E30" s="263">
        <f t="shared" si="0"/>
        <v>22652986.420000002</v>
      </c>
      <c r="F30" s="264">
        <v>11771420.59</v>
      </c>
      <c r="G30" s="479">
        <f t="shared" si="1"/>
        <v>0.480358996745472</v>
      </c>
      <c r="H30" s="265"/>
      <c r="I30" s="266">
        <v>0.48617697604637483</v>
      </c>
      <c r="J30" s="241">
        <v>0.49687812232799711</v>
      </c>
      <c r="K30" s="308">
        <f t="shared" si="2"/>
        <v>-1.6519125582525107E-2</v>
      </c>
      <c r="L30" s="155">
        <f t="shared" si="3"/>
        <v>-5.8179793009028313E-3</v>
      </c>
    </row>
    <row r="31" spans="1:12" x14ac:dyDescent="0.2">
      <c r="A31" s="259" t="s">
        <v>39</v>
      </c>
      <c r="B31" s="260" t="s">
        <v>140</v>
      </c>
      <c r="C31" s="261">
        <v>49026423.350000001</v>
      </c>
      <c r="D31" s="262">
        <v>7740000.0199999996</v>
      </c>
      <c r="E31" s="263">
        <f t="shared" si="0"/>
        <v>41286423.329999998</v>
      </c>
      <c r="F31" s="264">
        <v>17861305</v>
      </c>
      <c r="G31" s="479">
        <f t="shared" si="1"/>
        <v>0.56738066513450147</v>
      </c>
      <c r="H31" s="265"/>
      <c r="I31" s="266">
        <v>0.61143475656249446</v>
      </c>
      <c r="J31" s="241">
        <v>0.60004638931150611</v>
      </c>
      <c r="K31" s="308">
        <f t="shared" si="2"/>
        <v>-3.266572417700464E-2</v>
      </c>
      <c r="L31" s="155">
        <f t="shared" si="3"/>
        <v>-4.4054091427992992E-2</v>
      </c>
    </row>
    <row r="32" spans="1:12" x14ac:dyDescent="0.2">
      <c r="A32" s="259" t="s">
        <v>46</v>
      </c>
      <c r="B32" s="260" t="s">
        <v>70</v>
      </c>
      <c r="C32" s="261">
        <v>41553639.969999999</v>
      </c>
      <c r="D32" s="262">
        <v>316252.88</v>
      </c>
      <c r="E32" s="263">
        <f t="shared" si="0"/>
        <v>41237387.089999996</v>
      </c>
      <c r="F32" s="264">
        <v>17342667.68</v>
      </c>
      <c r="G32" s="479">
        <f t="shared" si="1"/>
        <v>0.57944309996775789</v>
      </c>
      <c r="H32" s="265"/>
      <c r="I32" s="266">
        <v>0.66312130502478173</v>
      </c>
      <c r="J32" s="241">
        <v>0.61781698508851612</v>
      </c>
      <c r="K32" s="308">
        <f t="shared" si="2"/>
        <v>-3.8373885120758233E-2</v>
      </c>
      <c r="L32" s="155">
        <f t="shared" si="3"/>
        <v>-8.3678205057023836E-2</v>
      </c>
    </row>
    <row r="33" spans="1:12" x14ac:dyDescent="0.2">
      <c r="A33" s="259" t="s">
        <v>41</v>
      </c>
      <c r="B33" s="260" t="s">
        <v>122</v>
      </c>
      <c r="C33" s="261">
        <v>26493979.68</v>
      </c>
      <c r="D33" s="262">
        <v>360874.65</v>
      </c>
      <c r="E33" s="263">
        <f>C33-D33</f>
        <v>26133105.030000001</v>
      </c>
      <c r="F33" s="264">
        <v>13824654.23</v>
      </c>
      <c r="G33" s="479">
        <f t="shared" si="1"/>
        <v>0.47099075237597204</v>
      </c>
      <c r="H33" s="265"/>
      <c r="I33" s="266">
        <v>0.54028196105325865</v>
      </c>
      <c r="J33" s="241">
        <v>0.52573226865262956</v>
      </c>
      <c r="K33" s="308">
        <f t="shared" si="2"/>
        <v>-5.474151627665752E-2</v>
      </c>
      <c r="L33" s="155">
        <f t="shared" si="3"/>
        <v>-6.9291208677286609E-2</v>
      </c>
    </row>
    <row r="34" spans="1:12" x14ac:dyDescent="0.2">
      <c r="A34" s="259" t="s">
        <v>42</v>
      </c>
      <c r="B34" s="260" t="s">
        <v>69</v>
      </c>
      <c r="C34" s="261">
        <v>40901174.700000003</v>
      </c>
      <c r="D34" s="262">
        <v>531505.67000000004</v>
      </c>
      <c r="E34" s="263">
        <f t="shared" si="0"/>
        <v>40369669.030000001</v>
      </c>
      <c r="F34" s="264">
        <v>17828016</v>
      </c>
      <c r="G34" s="479">
        <f t="shared" si="1"/>
        <v>0.55838092240113668</v>
      </c>
      <c r="H34" s="265"/>
      <c r="I34" s="266">
        <v>0.5707003132893298</v>
      </c>
      <c r="J34" s="241">
        <v>0.5791238472326814</v>
      </c>
      <c r="K34" s="308">
        <f t="shared" si="2"/>
        <v>-2.0742924831544718E-2</v>
      </c>
      <c r="L34" s="155">
        <f t="shared" si="3"/>
        <v>-1.2319390888193116E-2</v>
      </c>
    </row>
    <row r="35" spans="1:12" x14ac:dyDescent="0.2">
      <c r="A35" s="259" t="s">
        <v>43</v>
      </c>
      <c r="B35" s="260" t="s">
        <v>44</v>
      </c>
      <c r="C35" s="261">
        <v>154519678.09999999</v>
      </c>
      <c r="D35" s="262">
        <v>1088334.21</v>
      </c>
      <c r="E35" s="263">
        <f t="shared" si="0"/>
        <v>153431343.88999999</v>
      </c>
      <c r="F35" s="264">
        <v>63060207.420000002</v>
      </c>
      <c r="G35" s="479">
        <f t="shared" si="1"/>
        <v>0.58900048828869056</v>
      </c>
      <c r="H35" s="265"/>
      <c r="I35" s="266">
        <v>0.5582072324779036</v>
      </c>
      <c r="J35" s="241">
        <v>0.59076001686147117</v>
      </c>
      <c r="K35" s="308">
        <f t="shared" si="2"/>
        <v>-1.7595285727806109E-3</v>
      </c>
      <c r="L35" s="155">
        <f t="shared" si="3"/>
        <v>3.0793255810786957E-2</v>
      </c>
    </row>
    <row r="36" spans="1:12" x14ac:dyDescent="0.2">
      <c r="A36" s="259" t="s">
        <v>45</v>
      </c>
      <c r="B36" s="260" t="s">
        <v>141</v>
      </c>
      <c r="C36" s="261">
        <v>32651552.690000001</v>
      </c>
      <c r="D36" s="262">
        <v>125622.44</v>
      </c>
      <c r="E36" s="263">
        <f t="shared" si="0"/>
        <v>32525930.25</v>
      </c>
      <c r="F36" s="264">
        <v>14298061.369999999</v>
      </c>
      <c r="G36" s="479">
        <f t="shared" si="1"/>
        <v>0.56041037842414987</v>
      </c>
      <c r="H36" s="265"/>
      <c r="I36" s="266">
        <v>0.63781145705685938</v>
      </c>
      <c r="J36" s="241">
        <v>0.59250750687164877</v>
      </c>
      <c r="K36" s="308">
        <f t="shared" si="2"/>
        <v>-3.2097128447498902E-2</v>
      </c>
      <c r="L36" s="155">
        <f t="shared" si="3"/>
        <v>-7.7401078632709508E-2</v>
      </c>
    </row>
    <row r="37" spans="1:12" x14ac:dyDescent="0.2">
      <c r="A37" s="259" t="s">
        <v>47</v>
      </c>
      <c r="B37" s="260" t="s">
        <v>48</v>
      </c>
      <c r="C37" s="261">
        <v>99451823.120000005</v>
      </c>
      <c r="D37" s="262">
        <v>1096980.7</v>
      </c>
      <c r="E37" s="263">
        <f t="shared" si="0"/>
        <v>98354842.420000002</v>
      </c>
      <c r="F37" s="264">
        <v>36709083</v>
      </c>
      <c r="G37" s="479">
        <f t="shared" si="1"/>
        <v>0.62676893077370865</v>
      </c>
      <c r="H37" s="265"/>
      <c r="I37" s="266">
        <v>0.64429102422930495</v>
      </c>
      <c r="J37" s="241">
        <v>0.64934159053887264</v>
      </c>
      <c r="K37" s="308">
        <f t="shared" si="2"/>
        <v>-2.2572659765163983E-2</v>
      </c>
      <c r="L37" s="155">
        <f t="shared" si="3"/>
        <v>-1.7522093455596299E-2</v>
      </c>
    </row>
    <row r="38" spans="1:12" x14ac:dyDescent="0.2">
      <c r="C38" s="271"/>
      <c r="D38" s="272"/>
      <c r="E38" s="272"/>
      <c r="F38" s="273"/>
      <c r="G38" s="274"/>
      <c r="H38" s="274"/>
      <c r="J38" s="241"/>
    </row>
    <row r="39" spans="1:12" x14ac:dyDescent="0.2">
      <c r="B39" s="238" t="s">
        <v>49</v>
      </c>
      <c r="C39" s="271">
        <f>SUM(C8:C38)</f>
        <v>1506278155.9400001</v>
      </c>
      <c r="D39" s="272">
        <f>SUM(D8:D38)</f>
        <v>29676083.010000002</v>
      </c>
      <c r="E39" s="272">
        <f>SUM(E8:E38)</f>
        <v>1476602072.9299998</v>
      </c>
      <c r="F39" s="272">
        <f>SUM(F8:F38)</f>
        <v>644270390.67999995</v>
      </c>
      <c r="G39" s="265">
        <f>(E39-F39)/E39</f>
        <v>0.56368042379787286</v>
      </c>
      <c r="H39" s="274"/>
      <c r="I39" s="241">
        <v>0.58917622469614928</v>
      </c>
      <c r="K39" s="309">
        <f>AVERAGE(K8:K38)</f>
        <v>-3.4857697606284065E-2</v>
      </c>
    </row>
    <row r="40" spans="1:12" x14ac:dyDescent="0.2">
      <c r="A40" s="275" t="s">
        <v>130</v>
      </c>
      <c r="C40" s="271"/>
      <c r="D40" s="272"/>
      <c r="E40" s="272"/>
      <c r="F40" s="273"/>
      <c r="H40" s="274"/>
    </row>
    <row r="41" spans="1:12" x14ac:dyDescent="0.2">
      <c r="A41" s="276"/>
      <c r="C41" s="271"/>
      <c r="D41" s="272"/>
      <c r="E41" s="272"/>
      <c r="F41" s="273"/>
      <c r="H41" s="274"/>
    </row>
    <row r="42" spans="1:12" x14ac:dyDescent="0.2">
      <c r="A42" s="277" t="str">
        <f>'[5]FY2015 Detail'!B40</f>
        <v>MnSCU Finance Division</v>
      </c>
      <c r="C42" s="271"/>
      <c r="D42" s="272"/>
      <c r="E42" s="272"/>
      <c r="F42" s="273"/>
      <c r="G42" s="274"/>
      <c r="H42" s="274"/>
    </row>
    <row r="43" spans="1:12" x14ac:dyDescent="0.2">
      <c r="A43" s="277" t="s">
        <v>198</v>
      </c>
      <c r="C43" s="271"/>
      <c r="D43" s="272"/>
      <c r="E43" s="272"/>
      <c r="F43" s="273"/>
      <c r="G43" s="274"/>
      <c r="H43" s="274"/>
    </row>
    <row r="44" spans="1:12" x14ac:dyDescent="0.2">
      <c r="A44" s="277"/>
      <c r="C44" s="271"/>
      <c r="D44" s="272"/>
      <c r="E44" s="272"/>
      <c r="F44" s="273"/>
      <c r="G44" s="274"/>
      <c r="H44" s="274"/>
    </row>
    <row r="45" spans="1:12" x14ac:dyDescent="0.2">
      <c r="C45" s="271"/>
      <c r="D45" s="271"/>
      <c r="E45" s="271"/>
      <c r="F45" s="273"/>
      <c r="G45" s="274"/>
      <c r="H45" s="274"/>
    </row>
    <row r="46" spans="1:12" x14ac:dyDescent="0.2">
      <c r="C46" s="271"/>
      <c r="D46" s="272"/>
      <c r="E46" s="272"/>
      <c r="F46" s="273"/>
      <c r="G46" s="274"/>
      <c r="H46" s="274"/>
    </row>
    <row r="47" spans="1:12" x14ac:dyDescent="0.2">
      <c r="C47" s="271"/>
      <c r="D47" s="272"/>
      <c r="E47" s="272"/>
      <c r="F47" s="273"/>
      <c r="G47" s="274"/>
      <c r="H47" s="274"/>
    </row>
  </sheetData>
  <pageMargins left="0.7" right="0.7" top="0.75" bottom="0.75" header="0.3" footer="0.3"/>
  <pageSetup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15"/>
  <sheetViews>
    <sheetView workbookViewId="0">
      <selection activeCell="A35" sqref="A35"/>
    </sheetView>
  </sheetViews>
  <sheetFormatPr defaultRowHeight="12.75" x14ac:dyDescent="0.2"/>
  <cols>
    <col min="1" max="1" width="35.42578125" bestFit="1" customWidth="1"/>
    <col min="2" max="2" width="10.28515625" bestFit="1" customWidth="1"/>
    <col min="3" max="3" width="9.140625" style="464"/>
  </cols>
  <sheetData>
    <row r="2" spans="1:3" x14ac:dyDescent="0.2">
      <c r="A2" s="214" t="s">
        <v>302</v>
      </c>
    </row>
    <row r="4" spans="1:3" ht="38.25" x14ac:dyDescent="0.2">
      <c r="B4" s="466" t="s">
        <v>306</v>
      </c>
      <c r="C4" s="467" t="s">
        <v>307</v>
      </c>
    </row>
    <row r="5" spans="1:3" x14ac:dyDescent="0.2">
      <c r="A5" s="461" t="s">
        <v>247</v>
      </c>
      <c r="B5" s="11">
        <f>'FY15 Detail'!R42</f>
        <v>0</v>
      </c>
      <c r="C5" s="465">
        <f>'FY15 Detail'!S42</f>
        <v>0</v>
      </c>
    </row>
    <row r="6" spans="1:3" x14ac:dyDescent="0.2">
      <c r="A6" s="461" t="s">
        <v>240</v>
      </c>
      <c r="B6" s="11">
        <f>'FY15 Detail'!R43</f>
        <v>0</v>
      </c>
      <c r="C6" s="465">
        <f>'FY15 Detail'!S43</f>
        <v>0</v>
      </c>
    </row>
    <row r="7" spans="1:3" x14ac:dyDescent="0.2">
      <c r="A7" s="461"/>
    </row>
    <row r="8" spans="1:3" s="459" customFormat="1" x14ac:dyDescent="0.2">
      <c r="A8" s="460" t="s">
        <v>300</v>
      </c>
      <c r="B8" s="463">
        <f>'FY15 Detail'!R44</f>
        <v>0</v>
      </c>
      <c r="C8" s="465">
        <f>'FY15 Detail'!S44</f>
        <v>0</v>
      </c>
    </row>
    <row r="9" spans="1:3" x14ac:dyDescent="0.2">
      <c r="A9" s="461" t="s">
        <v>301</v>
      </c>
      <c r="B9" s="463">
        <f>'FY15 Detail'!R45</f>
        <v>0</v>
      </c>
      <c r="C9" s="465">
        <f>'FY15 Detail'!S45</f>
        <v>0</v>
      </c>
    </row>
    <row r="10" spans="1:3" x14ac:dyDescent="0.2">
      <c r="A10" s="461"/>
    </row>
    <row r="11" spans="1:3" x14ac:dyDescent="0.2">
      <c r="A11" s="462" t="s">
        <v>303</v>
      </c>
      <c r="B11" s="11">
        <f>'FY15 Detail'!R46</f>
        <v>0</v>
      </c>
      <c r="C11" s="465">
        <f>'FY15 Detail'!S46</f>
        <v>0</v>
      </c>
    </row>
    <row r="12" spans="1:3" x14ac:dyDescent="0.2">
      <c r="A12" s="462" t="s">
        <v>304</v>
      </c>
      <c r="B12" s="11">
        <f>'FY15 Detail'!R47</f>
        <v>0</v>
      </c>
      <c r="C12" s="465">
        <f>'FY15 Detail'!S47</f>
        <v>0</v>
      </c>
    </row>
    <row r="15" spans="1:3" x14ac:dyDescent="0.2">
      <c r="A15" s="214" t="s">
        <v>305</v>
      </c>
      <c r="B15" s="11">
        <f>'FY15 Detail'!R40</f>
        <v>0</v>
      </c>
      <c r="C15" s="465">
        <f>B15/'FY15 Detail'!O41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39997558519241921"/>
  </sheetPr>
  <dimension ref="A1:AC58"/>
  <sheetViews>
    <sheetView tabSelected="1" zoomScale="80" zoomScaleNormal="80" workbookViewId="0">
      <pane xSplit="3" ySplit="5" topLeftCell="D6" activePane="bottomRight" state="frozen"/>
      <selection activeCell="D12" sqref="D12"/>
      <selection pane="topRight" activeCell="D12" sqref="D12"/>
      <selection pane="bottomLeft" activeCell="D12" sqref="D12"/>
      <selection pane="bottomRight" activeCell="R6" sqref="R6:R35"/>
    </sheetView>
  </sheetViews>
  <sheetFormatPr defaultRowHeight="12.75" x14ac:dyDescent="0.2"/>
  <cols>
    <col min="1" max="1" width="4.7109375" hidden="1" customWidth="1"/>
    <col min="2" max="2" width="20.140625" hidden="1" customWidth="1"/>
    <col min="3" max="3" width="32.140625" bestFit="1" customWidth="1"/>
    <col min="4" max="4" width="8" style="56" customWidth="1"/>
    <col min="5" max="5" width="12.85546875" style="56" customWidth="1"/>
    <col min="6" max="6" width="13.85546875" style="56" customWidth="1"/>
    <col min="7" max="7" width="10.7109375" style="56" customWidth="1"/>
    <col min="8" max="8" width="10.5703125" style="56" customWidth="1"/>
    <col min="9" max="9" width="15.5703125" style="56" customWidth="1"/>
    <col min="10" max="10" width="17" bestFit="1" customWidth="1"/>
    <col min="11" max="11" width="11" style="6" customWidth="1"/>
    <col min="12" max="12" width="13.140625" style="70" bestFit="1" customWidth="1"/>
    <col min="13" max="13" width="9" style="44" customWidth="1"/>
    <col min="14" max="14" width="12.5703125" customWidth="1"/>
    <col min="15" max="15" width="13.42578125" style="56" customWidth="1"/>
    <col min="16" max="16" width="14.28515625" style="56" customWidth="1"/>
    <col min="17" max="17" width="13.7109375" style="6" customWidth="1"/>
    <col min="18" max="18" width="13" bestFit="1" customWidth="1"/>
    <col min="19" max="19" width="8.28515625" customWidth="1"/>
    <col min="20" max="20" width="2.7109375" customWidth="1"/>
    <col min="21" max="21" width="13.42578125" hidden="1" customWidth="1"/>
    <col min="22" max="22" width="11.140625" hidden="1" customWidth="1"/>
    <col min="23" max="23" width="13.42578125" customWidth="1"/>
    <col min="24" max="24" width="14.5703125" style="24" customWidth="1"/>
    <col min="25" max="26" width="13.42578125" customWidth="1"/>
    <col min="27" max="27" width="11.5703125" customWidth="1"/>
    <col min="28" max="28" width="11.28515625" bestFit="1" customWidth="1"/>
  </cols>
  <sheetData>
    <row r="1" spans="1:29" s="15" customFormat="1" ht="15.75" x14ac:dyDescent="0.25">
      <c r="A1" s="202"/>
      <c r="B1" s="40"/>
      <c r="D1" s="179"/>
      <c r="E1" s="93"/>
      <c r="F1" s="93"/>
      <c r="G1" s="93"/>
      <c r="H1" s="93"/>
      <c r="I1" s="48"/>
      <c r="J1" s="28"/>
      <c r="K1" s="22"/>
      <c r="L1" s="68"/>
      <c r="M1" s="50"/>
      <c r="O1" s="60"/>
      <c r="P1" s="90" t="s">
        <v>128</v>
      </c>
      <c r="Q1" s="29"/>
      <c r="X1" s="221"/>
    </row>
    <row r="2" spans="1:29" s="15" customFormat="1" ht="24.75" customHeight="1" x14ac:dyDescent="0.2">
      <c r="A2" s="202"/>
      <c r="B2" s="202"/>
      <c r="C2" s="202"/>
      <c r="D2" s="93"/>
      <c r="E2" s="93"/>
      <c r="F2" s="93"/>
      <c r="G2" s="93"/>
      <c r="H2" s="93"/>
      <c r="I2" s="48"/>
      <c r="J2" s="26" t="s">
        <v>163</v>
      </c>
      <c r="K2" s="25" t="s">
        <v>164</v>
      </c>
      <c r="L2" s="68"/>
      <c r="M2" s="45" t="s">
        <v>165</v>
      </c>
      <c r="N2" s="88" t="s">
        <v>166</v>
      </c>
      <c r="O2" s="88" t="s">
        <v>169</v>
      </c>
      <c r="P2" s="49" t="s">
        <v>168</v>
      </c>
      <c r="Q2" s="25" t="s">
        <v>170</v>
      </c>
      <c r="R2" s="26" t="s">
        <v>171</v>
      </c>
      <c r="S2" s="49" t="s">
        <v>172</v>
      </c>
      <c r="W2" s="211"/>
      <c r="X2" s="221"/>
      <c r="Y2" s="211"/>
      <c r="Z2" s="211"/>
    </row>
    <row r="3" spans="1:29" s="15" customFormat="1" x14ac:dyDescent="0.2">
      <c r="A3" s="30"/>
      <c r="B3" s="19"/>
      <c r="C3" s="19"/>
      <c r="D3" s="180"/>
      <c r="E3" s="61" t="s">
        <v>52</v>
      </c>
      <c r="F3" s="61" t="s">
        <v>53</v>
      </c>
      <c r="G3" s="61" t="s">
        <v>55</v>
      </c>
      <c r="H3" s="61" t="s">
        <v>54</v>
      </c>
      <c r="I3" s="61" t="s">
        <v>56</v>
      </c>
      <c r="J3" s="14" t="s">
        <v>57</v>
      </c>
      <c r="K3" s="23" t="s">
        <v>58</v>
      </c>
      <c r="L3" s="69" t="s">
        <v>59</v>
      </c>
      <c r="M3" s="46" t="s">
        <v>51</v>
      </c>
      <c r="N3" s="14" t="s">
        <v>125</v>
      </c>
      <c r="O3" s="61" t="s">
        <v>60</v>
      </c>
      <c r="P3" s="61" t="s">
        <v>167</v>
      </c>
      <c r="Q3" s="23" t="s">
        <v>61</v>
      </c>
      <c r="R3" s="14" t="s">
        <v>64</v>
      </c>
      <c r="S3" s="48" t="s">
        <v>65</v>
      </c>
      <c r="W3" s="48" t="s">
        <v>120</v>
      </c>
      <c r="X3" s="48" t="s">
        <v>146</v>
      </c>
      <c r="Y3" s="48" t="s">
        <v>319</v>
      </c>
      <c r="Z3" s="48" t="s">
        <v>320</v>
      </c>
    </row>
    <row r="4" spans="1:29" ht="92.25" customHeight="1" x14ac:dyDescent="0.2">
      <c r="B4" s="1" t="s">
        <v>0</v>
      </c>
      <c r="C4" s="1" t="s">
        <v>1</v>
      </c>
      <c r="D4" s="181" t="s">
        <v>194</v>
      </c>
      <c r="E4" s="62" t="s">
        <v>311</v>
      </c>
      <c r="F4" s="62" t="s">
        <v>314</v>
      </c>
      <c r="G4" s="62" t="s">
        <v>312</v>
      </c>
      <c r="H4" s="218" t="s">
        <v>313</v>
      </c>
      <c r="I4" s="62" t="s">
        <v>315</v>
      </c>
      <c r="J4" s="13" t="s">
        <v>67</v>
      </c>
      <c r="K4" s="20" t="s">
        <v>316</v>
      </c>
      <c r="L4" s="107" t="s">
        <v>144</v>
      </c>
      <c r="M4" s="51" t="s">
        <v>156</v>
      </c>
      <c r="N4" s="201" t="s">
        <v>317</v>
      </c>
      <c r="O4" s="62" t="s">
        <v>119</v>
      </c>
      <c r="P4" s="63" t="s">
        <v>157</v>
      </c>
      <c r="Q4" s="41" t="s">
        <v>158</v>
      </c>
      <c r="R4" s="32" t="s">
        <v>159</v>
      </c>
      <c r="S4" s="32" t="s">
        <v>160</v>
      </c>
      <c r="W4" s="176" t="s">
        <v>321</v>
      </c>
      <c r="X4" s="222" t="s">
        <v>310</v>
      </c>
      <c r="Y4" s="484" t="s">
        <v>322</v>
      </c>
      <c r="Z4" s="480" t="s">
        <v>323</v>
      </c>
    </row>
    <row r="5" spans="1:29" x14ac:dyDescent="0.2">
      <c r="B5" s="2"/>
      <c r="C5" s="2"/>
      <c r="D5" s="182"/>
      <c r="N5" s="17"/>
      <c r="O5" s="54"/>
      <c r="P5" s="64"/>
      <c r="Q5" s="42"/>
      <c r="R5" s="27"/>
      <c r="W5" s="177"/>
      <c r="X5" s="476"/>
      <c r="Y5" s="485"/>
      <c r="Z5" s="481"/>
    </row>
    <row r="6" spans="1:29" x14ac:dyDescent="0.2">
      <c r="A6">
        <v>1</v>
      </c>
      <c r="B6" s="10" t="s">
        <v>2</v>
      </c>
      <c r="C6" s="3" t="s">
        <v>133</v>
      </c>
      <c r="D6" s="183">
        <v>1993</v>
      </c>
      <c r="E6" s="94">
        <f>Instruction!L8</f>
        <v>5679738</v>
      </c>
      <c r="F6" s="94">
        <f>'Student&amp;Institutional Support'!S9</f>
        <v>3294827.0434863688</v>
      </c>
      <c r="G6" s="94">
        <f>Facilities!H9</f>
        <v>830209.18589711562</v>
      </c>
      <c r="H6" s="94">
        <f>'Student Success'!E7</f>
        <v>422000</v>
      </c>
      <c r="I6" s="94">
        <f>Research!H9</f>
        <v>36088.748727938466</v>
      </c>
      <c r="J6" s="8">
        <f t="shared" ref="J6:J35" si="0">SUM(E6:I6)</f>
        <v>10262862.978111422</v>
      </c>
      <c r="K6" s="9">
        <f t="shared" ref="K6:K35" si="1">+J6/$J$37</f>
        <v>1.7270312517776321E-2</v>
      </c>
      <c r="L6" s="71">
        <v>8801666.4870260525</v>
      </c>
      <c r="M6" s="52">
        <f>L6/$L$37</f>
        <v>1.7297959842005609E-2</v>
      </c>
      <c r="N6" s="18">
        <f t="shared" ref="N6:N35" si="2">M6*$O$39</f>
        <v>4759336.0991774676</v>
      </c>
      <c r="O6" s="55">
        <f t="shared" ref="O6:O35" si="3">K6*$O$39</f>
        <v>4751729.2536620451</v>
      </c>
      <c r="P6" s="65">
        <f>N6+O6</f>
        <v>9511065.3528395128</v>
      </c>
      <c r="Q6" s="43">
        <f t="shared" ref="Q6:Q35" si="4">P6/$P$37</f>
        <v>1.7284136179890962E-2</v>
      </c>
      <c r="R6" s="39">
        <f>P6-L6</f>
        <v>709398.8658134602</v>
      </c>
      <c r="S6" s="47">
        <f t="shared" ref="S6:S35" si="5">R6/L6</f>
        <v>8.0598244305113989E-2</v>
      </c>
      <c r="W6" s="217">
        <v>959804</v>
      </c>
      <c r="X6" s="223">
        <v>138033</v>
      </c>
      <c r="Y6" s="486">
        <v>192233.14744297974</v>
      </c>
      <c r="Z6" s="482">
        <v>100000</v>
      </c>
      <c r="AA6" s="11"/>
      <c r="AB6" s="6"/>
    </row>
    <row r="7" spans="1:29" s="56" customFormat="1" x14ac:dyDescent="0.2">
      <c r="A7" s="56">
        <v>2</v>
      </c>
      <c r="B7" s="10" t="s">
        <v>4</v>
      </c>
      <c r="C7" s="3" t="s">
        <v>129</v>
      </c>
      <c r="D7" s="183">
        <v>7071</v>
      </c>
      <c r="E7" s="94">
        <f>Instruction!L9</f>
        <v>15934319</v>
      </c>
      <c r="F7" s="94">
        <f>'Student&amp;Institutional Support'!S10</f>
        <v>8488221.3605994843</v>
      </c>
      <c r="G7" s="94">
        <f>Facilities!H10</f>
        <v>1321775.7721463228</v>
      </c>
      <c r="H7" s="94">
        <f>'Student Success'!E8</f>
        <v>180000</v>
      </c>
      <c r="I7" s="94">
        <f>Research!H10</f>
        <v>51850.916928087048</v>
      </c>
      <c r="J7" s="94">
        <f t="shared" si="0"/>
        <v>25976167.049673893</v>
      </c>
      <c r="K7" s="139">
        <f t="shared" si="1"/>
        <v>4.3712609621568435E-2</v>
      </c>
      <c r="L7" s="94">
        <v>21406446.48322162</v>
      </c>
      <c r="M7" s="52">
        <f t="shared" ref="M7:M35" si="6">L7/$L$37</f>
        <v>4.2070197975874947E-2</v>
      </c>
      <c r="N7" s="55">
        <f t="shared" si="2"/>
        <v>11575134.510366008</v>
      </c>
      <c r="O7" s="55">
        <f t="shared" si="3"/>
        <v>12027025.317516372</v>
      </c>
      <c r="P7" s="65">
        <f t="shared" ref="P7:P34" si="7">N7+O7</f>
        <v>23602159.827882379</v>
      </c>
      <c r="Q7" s="140">
        <f t="shared" si="4"/>
        <v>4.2891403798721681E-2</v>
      </c>
      <c r="R7" s="39">
        <f t="shared" ref="R7:R35" si="8">P7-L7</f>
        <v>2195713.344660759</v>
      </c>
      <c r="S7" s="141">
        <f t="shared" si="5"/>
        <v>0.10257252862504572</v>
      </c>
      <c r="W7" s="217">
        <v>3338843</v>
      </c>
      <c r="X7" s="223">
        <f>441584+119925</f>
        <v>561509</v>
      </c>
      <c r="Y7" s="486">
        <v>651662.79592687439</v>
      </c>
      <c r="Z7" s="482">
        <v>100000</v>
      </c>
      <c r="AA7" s="57"/>
      <c r="AB7" s="6"/>
    </row>
    <row r="8" spans="1:29" ht="12" customHeight="1" x14ac:dyDescent="0.2">
      <c r="A8">
        <v>4</v>
      </c>
      <c r="B8" s="10" t="s">
        <v>5</v>
      </c>
      <c r="C8" s="3" t="s">
        <v>118</v>
      </c>
      <c r="D8" s="183">
        <f>4295+648</f>
        <v>4943</v>
      </c>
      <c r="E8" s="94">
        <f>Instruction!L10</f>
        <v>12915720.5</v>
      </c>
      <c r="F8" s="94">
        <f>'Student&amp;Institutional Support'!S11</f>
        <v>8207053.0465417476</v>
      </c>
      <c r="G8" s="94">
        <f>Facilities!H11</f>
        <v>1273737.5367581234</v>
      </c>
      <c r="H8" s="94">
        <f>'Student Success'!E9</f>
        <v>68000</v>
      </c>
      <c r="I8" s="94">
        <f>Research!H11</f>
        <v>65055.067158202502</v>
      </c>
      <c r="J8" s="8">
        <f t="shared" si="0"/>
        <v>22529566.150458075</v>
      </c>
      <c r="K8" s="9">
        <f t="shared" si="1"/>
        <v>3.7912680812184713E-2</v>
      </c>
      <c r="L8" s="71">
        <v>18904049.531243771</v>
      </c>
      <c r="M8" s="52">
        <f t="shared" si="6"/>
        <v>3.7152224538926887E-2</v>
      </c>
      <c r="N8" s="18">
        <f t="shared" si="2"/>
        <v>10222010.284905385</v>
      </c>
      <c r="O8" s="55">
        <f t="shared" si="3"/>
        <v>10431241.143701408</v>
      </c>
      <c r="P8" s="65">
        <f t="shared" si="7"/>
        <v>20653251.428606793</v>
      </c>
      <c r="Q8" s="43">
        <f t="shared" si="4"/>
        <v>3.7532452675555793E-2</v>
      </c>
      <c r="R8" s="39">
        <f t="shared" si="8"/>
        <v>1749201.897363022</v>
      </c>
      <c r="S8" s="47">
        <f t="shared" si="5"/>
        <v>9.253053926207816E-2</v>
      </c>
      <c r="W8" s="217">
        <v>1964644</v>
      </c>
      <c r="X8" s="223">
        <f>63918+229608</f>
        <v>293526</v>
      </c>
      <c r="Y8" s="486">
        <v>71192.948365842705</v>
      </c>
      <c r="Z8" s="482">
        <v>100000</v>
      </c>
      <c r="AA8" s="11"/>
      <c r="AB8" s="6"/>
    </row>
    <row r="9" spans="1:29" x14ac:dyDescent="0.2">
      <c r="A9">
        <v>3</v>
      </c>
      <c r="B9" s="38" t="s">
        <v>6</v>
      </c>
      <c r="C9" s="3" t="s">
        <v>7</v>
      </c>
      <c r="D9" s="183">
        <v>2710</v>
      </c>
      <c r="E9" s="94">
        <f>Instruction!L11</f>
        <v>7439937</v>
      </c>
      <c r="F9" s="94">
        <f>'Student&amp;Institutional Support'!S12</f>
        <v>4541050.3767493945</v>
      </c>
      <c r="G9" s="94">
        <f>Facilities!H12</f>
        <v>1145379.9261762523</v>
      </c>
      <c r="H9" s="94">
        <f>'Student Success'!E10</f>
        <v>4000</v>
      </c>
      <c r="I9" s="94">
        <f>Research!H12</f>
        <v>352001.60655442427</v>
      </c>
      <c r="J9" s="8">
        <f t="shared" si="0"/>
        <v>13482368.909480071</v>
      </c>
      <c r="K9" s="9">
        <f t="shared" si="1"/>
        <v>2.2688086652163427E-2</v>
      </c>
      <c r="L9" s="71">
        <v>11677657.884428203</v>
      </c>
      <c r="M9" s="52">
        <f t="shared" si="6"/>
        <v>2.2950160339666747E-2</v>
      </c>
      <c r="N9" s="18">
        <f t="shared" si="2"/>
        <v>6314474.5151531463</v>
      </c>
      <c r="O9" s="55">
        <f t="shared" si="3"/>
        <v>6242367.9330491563</v>
      </c>
      <c r="P9" s="65">
        <f t="shared" si="7"/>
        <v>12556842.448202303</v>
      </c>
      <c r="Q9" s="43">
        <f t="shared" si="4"/>
        <v>2.2819123495915083E-2</v>
      </c>
      <c r="R9" s="39">
        <f t="shared" si="8"/>
        <v>879184.56377409957</v>
      </c>
      <c r="S9" s="47">
        <f t="shared" si="5"/>
        <v>7.5287747977825684E-2</v>
      </c>
      <c r="W9" s="217">
        <v>1058125</v>
      </c>
      <c r="X9" s="223">
        <v>219521</v>
      </c>
      <c r="Y9" s="486">
        <v>210215.93544562932</v>
      </c>
      <c r="Z9" s="482">
        <v>200000</v>
      </c>
      <c r="AA9" s="11"/>
      <c r="AB9" s="6"/>
    </row>
    <row r="10" spans="1:29" x14ac:dyDescent="0.2">
      <c r="A10">
        <v>3</v>
      </c>
      <c r="B10" s="38" t="s">
        <v>8</v>
      </c>
      <c r="C10" s="3" t="s">
        <v>9</v>
      </c>
      <c r="D10" s="183">
        <v>6204</v>
      </c>
      <c r="E10" s="94">
        <f>Instruction!L12</f>
        <v>14409206</v>
      </c>
      <c r="F10" s="94">
        <f>'Student&amp;Institutional Support'!S13</f>
        <v>7134940.7513417043</v>
      </c>
      <c r="G10" s="94">
        <f>Facilities!H13</f>
        <v>1085394.1585147493</v>
      </c>
      <c r="H10" s="94">
        <f>'Student Success'!E11</f>
        <v>542000</v>
      </c>
      <c r="I10" s="94">
        <f>Research!H13</f>
        <v>79093.659983885795</v>
      </c>
      <c r="J10" s="8">
        <f t="shared" si="0"/>
        <v>23250634.569840338</v>
      </c>
      <c r="K10" s="9">
        <f t="shared" si="1"/>
        <v>3.9126092408538531E-2</v>
      </c>
      <c r="L10" s="71">
        <v>19251191.230354831</v>
      </c>
      <c r="M10" s="52">
        <f t="shared" si="6"/>
        <v>3.7834463882982929E-2</v>
      </c>
      <c r="N10" s="18">
        <f>M10*$O$39</f>
        <v>10409720.648907978</v>
      </c>
      <c r="O10" s="55">
        <f t="shared" si="3"/>
        <v>10765097.486671025</v>
      </c>
      <c r="P10" s="65">
        <f t="shared" si="7"/>
        <v>21174818.135579005</v>
      </c>
      <c r="Q10" s="43">
        <f t="shared" si="4"/>
        <v>3.848027814576073E-2</v>
      </c>
      <c r="R10" s="39">
        <f t="shared" si="8"/>
        <v>1923626.9052241743</v>
      </c>
      <c r="S10" s="47">
        <f t="shared" si="5"/>
        <v>9.9922486988287984E-2</v>
      </c>
      <c r="W10" s="217">
        <v>3156971</v>
      </c>
      <c r="X10" s="223">
        <v>494529</v>
      </c>
      <c r="Y10" s="486">
        <v>632465.37480727118</v>
      </c>
      <c r="Z10" s="482"/>
      <c r="AA10" s="11"/>
      <c r="AB10" s="6"/>
    </row>
    <row r="11" spans="1:29" s="56" customFormat="1" x14ac:dyDescent="0.2">
      <c r="A11" s="56">
        <v>1</v>
      </c>
      <c r="B11" s="38" t="s">
        <v>10</v>
      </c>
      <c r="C11" s="3" t="s">
        <v>161</v>
      </c>
      <c r="D11" s="183">
        <f>2004+3550</f>
        <v>5554</v>
      </c>
      <c r="E11" s="94">
        <f>Instruction!L13</f>
        <v>14160087</v>
      </c>
      <c r="F11" s="94">
        <f>'Student&amp;Institutional Support'!S14</f>
        <v>7689333.7384729143</v>
      </c>
      <c r="G11" s="94">
        <f>Facilities!H14</f>
        <v>1370117.637916934</v>
      </c>
      <c r="H11" s="94">
        <f>'Student Success'!E12</f>
        <v>12000</v>
      </c>
      <c r="I11" s="94">
        <f>Research!H14</f>
        <v>174816.293150629</v>
      </c>
      <c r="J11" s="94">
        <f t="shared" si="0"/>
        <v>23406354.66954048</v>
      </c>
      <c r="K11" s="139">
        <f t="shared" si="1"/>
        <v>3.9388137687020423E-2</v>
      </c>
      <c r="L11" s="94">
        <v>20239568.439505614</v>
      </c>
      <c r="M11" s="52">
        <f t="shared" si="6"/>
        <v>3.9776926631127869E-2</v>
      </c>
      <c r="N11" s="55">
        <f>M11*$O$39</f>
        <v>10944167.090164242</v>
      </c>
      <c r="O11" s="55">
        <f t="shared" si="3"/>
        <v>10837196.252357215</v>
      </c>
      <c r="P11" s="65">
        <f t="shared" si="7"/>
        <v>21781363.342521459</v>
      </c>
      <c r="Q11" s="140">
        <f t="shared" si="4"/>
        <v>3.9582532159074139E-2</v>
      </c>
      <c r="R11" s="367">
        <f t="shared" si="8"/>
        <v>1541794.9030158445</v>
      </c>
      <c r="S11" s="141">
        <f t="shared" si="5"/>
        <v>7.6177261764456147E-2</v>
      </c>
      <c r="W11" s="475">
        <f>1027935+1762940</f>
        <v>2790875</v>
      </c>
      <c r="X11" s="223">
        <f>152974+287007</f>
        <v>439981</v>
      </c>
      <c r="Y11" s="487">
        <v>565478.287977139</v>
      </c>
      <c r="Z11" s="483"/>
      <c r="AA11" s="57"/>
      <c r="AB11" s="6"/>
    </row>
    <row r="12" spans="1:29" x14ac:dyDescent="0.2">
      <c r="A12">
        <v>2</v>
      </c>
      <c r="B12" s="38" t="s">
        <v>12</v>
      </c>
      <c r="C12" s="3" t="s">
        <v>13</v>
      </c>
      <c r="D12" s="183">
        <v>1188</v>
      </c>
      <c r="E12" s="94">
        <f>Instruction!L14</f>
        <v>2660194.5</v>
      </c>
      <c r="F12" s="94">
        <f>'Student&amp;Institutional Support'!S15</f>
        <v>2452214.2868800983</v>
      </c>
      <c r="G12" s="94">
        <f>Facilities!H15</f>
        <v>290059.963273259</v>
      </c>
      <c r="H12" s="94">
        <f>'Student Success'!E13</f>
        <v>150000</v>
      </c>
      <c r="I12" s="94">
        <f>Research!H15</f>
        <v>4728.0688314675181</v>
      </c>
      <c r="J12" s="8">
        <f t="shared" si="0"/>
        <v>5557196.8189848242</v>
      </c>
      <c r="K12" s="9">
        <f t="shared" si="1"/>
        <v>9.3516327745341923E-3</v>
      </c>
      <c r="L12" s="71">
        <v>4219142.1062839422</v>
      </c>
      <c r="M12" s="52">
        <f t="shared" si="6"/>
        <v>8.2919014063749501E-3</v>
      </c>
      <c r="N12" s="18">
        <f>M12*$O$39</f>
        <v>2281421.9743040558</v>
      </c>
      <c r="O12" s="55">
        <f t="shared" si="3"/>
        <v>2572994.9575909814</v>
      </c>
      <c r="P12" s="65">
        <f t="shared" si="7"/>
        <v>4854416.9318950372</v>
      </c>
      <c r="Q12" s="43">
        <f t="shared" si="4"/>
        <v>8.8217670904545686E-3</v>
      </c>
      <c r="R12" s="39">
        <f t="shared" si="8"/>
        <v>635274.82561109494</v>
      </c>
      <c r="S12" s="47">
        <f t="shared" si="5"/>
        <v>0.15056966786326628</v>
      </c>
      <c r="W12" s="217">
        <v>373007</v>
      </c>
      <c r="X12" s="223">
        <v>101164</v>
      </c>
      <c r="Y12" s="486">
        <v>74021.457786806728</v>
      </c>
      <c r="Z12" s="482">
        <v>100000</v>
      </c>
      <c r="AA12" s="11"/>
      <c r="AB12" s="6"/>
    </row>
    <row r="13" spans="1:29" x14ac:dyDescent="0.2">
      <c r="A13">
        <v>1</v>
      </c>
      <c r="B13" s="38" t="s">
        <v>14</v>
      </c>
      <c r="C13" s="3" t="s">
        <v>147</v>
      </c>
      <c r="D13" s="183">
        <v>3739</v>
      </c>
      <c r="E13" s="94">
        <f>Instruction!L15</f>
        <v>11136211</v>
      </c>
      <c r="F13" s="94">
        <f>'Student&amp;Institutional Support'!S16</f>
        <v>5853911.1900436394</v>
      </c>
      <c r="G13" s="94">
        <f>Facilities!H16</f>
        <v>1611790.312152426</v>
      </c>
      <c r="H13" s="94">
        <f>'Student Success'!E14</f>
        <v>0</v>
      </c>
      <c r="I13" s="94">
        <f>Research!H16</f>
        <v>0</v>
      </c>
      <c r="J13" s="8">
        <f t="shared" si="0"/>
        <v>18601912.502196066</v>
      </c>
      <c r="K13" s="9">
        <f t="shared" si="1"/>
        <v>3.1303237997665948E-2</v>
      </c>
      <c r="L13" s="71">
        <v>17316929.74258662</v>
      </c>
      <c r="M13" s="52">
        <f t="shared" si="6"/>
        <v>3.403304995885028E-2</v>
      </c>
      <c r="N13" s="18">
        <f t="shared" si="2"/>
        <v>9363805.0217305999</v>
      </c>
      <c r="O13" s="55">
        <f t="shared" si="3"/>
        <v>8612728.436428234</v>
      </c>
      <c r="P13" s="65">
        <f t="shared" si="7"/>
        <v>17976533.458158836</v>
      </c>
      <c r="Q13" s="43">
        <f t="shared" si="4"/>
        <v>3.266814397825811E-2</v>
      </c>
      <c r="R13" s="39">
        <f t="shared" si="8"/>
        <v>659603.71557221562</v>
      </c>
      <c r="S13" s="47">
        <f t="shared" si="5"/>
        <v>3.8090107506187236E-2</v>
      </c>
      <c r="W13" s="217">
        <v>1893776</v>
      </c>
      <c r="X13" s="223">
        <v>323587</v>
      </c>
      <c r="Y13" s="486">
        <v>371156.87833214854</v>
      </c>
      <c r="Z13" s="482"/>
      <c r="AA13" s="11"/>
      <c r="AB13" s="6"/>
    </row>
    <row r="14" spans="1:29" x14ac:dyDescent="0.2">
      <c r="A14">
        <v>3</v>
      </c>
      <c r="B14" s="38" t="s">
        <v>16</v>
      </c>
      <c r="C14" s="3" t="s">
        <v>17</v>
      </c>
      <c r="D14" s="183">
        <v>3292</v>
      </c>
      <c r="E14" s="94">
        <f>Instruction!L16</f>
        <v>8784138.5</v>
      </c>
      <c r="F14" s="94">
        <f>'Student&amp;Institutional Support'!S17</f>
        <v>4890855.8822246911</v>
      </c>
      <c r="G14" s="94">
        <f>Facilities!H17</f>
        <v>633989.36473021237</v>
      </c>
      <c r="H14" s="94">
        <f>'Student Success'!E15</f>
        <v>12000</v>
      </c>
      <c r="I14" s="94">
        <f>Research!H17</f>
        <v>7455.2957291319017</v>
      </c>
      <c r="J14" s="8">
        <f t="shared" si="0"/>
        <v>14328439.042684035</v>
      </c>
      <c r="K14" s="9">
        <f t="shared" si="1"/>
        <v>2.4111850726920469E-2</v>
      </c>
      <c r="L14" s="71">
        <v>11952742.043196166</v>
      </c>
      <c r="M14" s="52">
        <f t="shared" si="6"/>
        <v>2.3490784633776747E-2</v>
      </c>
      <c r="N14" s="18">
        <f t="shared" si="2"/>
        <v>6463221.1154777622</v>
      </c>
      <c r="O14" s="55">
        <f t="shared" si="3"/>
        <v>6634100.3581209406</v>
      </c>
      <c r="P14" s="65">
        <f t="shared" si="7"/>
        <v>13097321.473598704</v>
      </c>
      <c r="Q14" s="43">
        <f t="shared" si="4"/>
        <v>2.3801317680348606E-2</v>
      </c>
      <c r="R14" s="39">
        <f t="shared" si="8"/>
        <v>1144579.4304025378</v>
      </c>
      <c r="S14" s="47">
        <f t="shared" si="5"/>
        <v>9.57587327046905E-2</v>
      </c>
      <c r="W14" s="217">
        <v>1495568</v>
      </c>
      <c r="X14" s="223">
        <v>226878</v>
      </c>
      <c r="Y14" s="486">
        <v>277200.66025972617</v>
      </c>
      <c r="Z14" s="482">
        <v>100000</v>
      </c>
      <c r="AA14" s="11"/>
      <c r="AB14" s="6"/>
    </row>
    <row r="15" spans="1:29" x14ac:dyDescent="0.2">
      <c r="A15">
        <v>4</v>
      </c>
      <c r="B15" s="38" t="s">
        <v>18</v>
      </c>
      <c r="C15" s="3" t="s">
        <v>148</v>
      </c>
      <c r="D15" s="183">
        <v>6102</v>
      </c>
      <c r="E15" s="94">
        <f>Instruction!L17</f>
        <v>17811958.5</v>
      </c>
      <c r="F15" s="94">
        <f>'Student&amp;Institutional Support'!S18</f>
        <v>10303702.89983052</v>
      </c>
      <c r="G15" s="94">
        <f>Facilities!H18</f>
        <v>438663.99493077066</v>
      </c>
      <c r="H15" s="94">
        <f>'Student Success'!E16</f>
        <v>10000</v>
      </c>
      <c r="I15" s="94">
        <f>Research!H18</f>
        <v>30311.378656572342</v>
      </c>
      <c r="J15" s="8">
        <f t="shared" si="0"/>
        <v>28594636.773417864</v>
      </c>
      <c r="K15" s="9">
        <f t="shared" si="1"/>
        <v>4.8118961976056904E-2</v>
      </c>
      <c r="L15" s="71">
        <v>22178179.70885272</v>
      </c>
      <c r="M15" s="52">
        <f t="shared" si="6"/>
        <v>4.3586889203085802E-2</v>
      </c>
      <c r="N15" s="18">
        <f t="shared" si="2"/>
        <v>11992434.780160915</v>
      </c>
      <c r="O15" s="55">
        <f t="shared" si="3"/>
        <v>13239382.84510681</v>
      </c>
      <c r="P15" s="65">
        <f t="shared" si="7"/>
        <v>25231817.625267725</v>
      </c>
      <c r="Q15" s="43">
        <f t="shared" si="4"/>
        <v>4.5852925589571346E-2</v>
      </c>
      <c r="R15" s="39">
        <f t="shared" si="8"/>
        <v>3053637.9164150059</v>
      </c>
      <c r="S15" s="47">
        <f t="shared" si="5"/>
        <v>0.13768658909351814</v>
      </c>
      <c r="W15" s="217">
        <v>2237895</v>
      </c>
      <c r="X15" s="223">
        <v>443319</v>
      </c>
      <c r="Y15" s="486">
        <v>0</v>
      </c>
      <c r="Z15" s="482"/>
      <c r="AA15" s="11"/>
      <c r="AB15" s="6"/>
    </row>
    <row r="16" spans="1:29" x14ac:dyDescent="0.2">
      <c r="A16">
        <v>3</v>
      </c>
      <c r="B16" s="38" t="s">
        <v>19</v>
      </c>
      <c r="C16" s="3" t="s">
        <v>134</v>
      </c>
      <c r="D16" s="183">
        <v>5658</v>
      </c>
      <c r="E16" s="94">
        <f>Instruction!L18</f>
        <v>12827060</v>
      </c>
      <c r="F16" s="94">
        <f>'Student&amp;Institutional Support'!S19</f>
        <v>7010113.3135894798</v>
      </c>
      <c r="G16" s="94">
        <f>Facilities!H19</f>
        <v>1537967.8172317559</v>
      </c>
      <c r="H16" s="94">
        <f>'Student Success'!E17</f>
        <v>8000</v>
      </c>
      <c r="I16" s="94">
        <f>Research!H19</f>
        <v>0</v>
      </c>
      <c r="J16" s="8">
        <f t="shared" si="0"/>
        <v>21383141.130821235</v>
      </c>
      <c r="K16" s="9">
        <f t="shared" si="1"/>
        <v>3.5983480509154897E-2</v>
      </c>
      <c r="L16" s="71">
        <v>19019728.625595793</v>
      </c>
      <c r="M16" s="52">
        <f t="shared" si="6"/>
        <v>3.7379569250477869E-2</v>
      </c>
      <c r="N16" s="18">
        <f t="shared" si="2"/>
        <v>10284561.58589836</v>
      </c>
      <c r="O16" s="55">
        <f t="shared" si="3"/>
        <v>9900443.7127548158</v>
      </c>
      <c r="P16" s="65">
        <f t="shared" si="7"/>
        <v>20185005.298653178</v>
      </c>
      <c r="Q16" s="43">
        <f t="shared" si="4"/>
        <v>3.668152487981638E-2</v>
      </c>
      <c r="R16" s="39">
        <f t="shared" si="8"/>
        <v>1165276.6730573848</v>
      </c>
      <c r="S16" s="47">
        <f t="shared" si="5"/>
        <v>6.1266734977975142E-2</v>
      </c>
      <c r="W16" s="217">
        <v>2858285</v>
      </c>
      <c r="X16" s="223">
        <v>522691</v>
      </c>
      <c r="Y16" s="486">
        <v>555547.6059451428</v>
      </c>
      <c r="Z16" s="482"/>
      <c r="AA16" s="11"/>
      <c r="AB16" s="6"/>
      <c r="AC16" s="6"/>
    </row>
    <row r="17" spans="1:28" ht="12" customHeight="1" x14ac:dyDescent="0.2">
      <c r="A17">
        <v>1</v>
      </c>
      <c r="B17" s="38" t="s">
        <v>21</v>
      </c>
      <c r="C17" s="123" t="s">
        <v>203</v>
      </c>
      <c r="D17" s="183">
        <v>1316</v>
      </c>
      <c r="E17" s="94">
        <f>Instruction!L19</f>
        <v>4277993</v>
      </c>
      <c r="F17" s="94">
        <f>'Student&amp;Institutional Support'!S20</f>
        <v>3002745.0578660881</v>
      </c>
      <c r="G17" s="94">
        <f>Facilities!H20</f>
        <v>536394.74985492765</v>
      </c>
      <c r="H17" s="94">
        <f>'Student Success'!E18</f>
        <v>12000</v>
      </c>
      <c r="I17" s="94">
        <f>Research!H20</f>
        <v>0</v>
      </c>
      <c r="J17" s="8">
        <f t="shared" si="0"/>
        <v>7829132.807721016</v>
      </c>
      <c r="K17" s="9">
        <f t="shared" si="1"/>
        <v>1.3174839284212996E-2</v>
      </c>
      <c r="L17" s="71">
        <v>7174897.2500374261</v>
      </c>
      <c r="M17" s="52">
        <f t="shared" si="6"/>
        <v>1.4100861999782397E-2</v>
      </c>
      <c r="N17" s="18">
        <f t="shared" si="2"/>
        <v>3879691.1403456582</v>
      </c>
      <c r="O17" s="55">
        <f t="shared" si="3"/>
        <v>3624906.5657991604</v>
      </c>
      <c r="P17" s="65">
        <f t="shared" si="7"/>
        <v>7504597.706144819</v>
      </c>
      <c r="Q17" s="43">
        <f t="shared" si="4"/>
        <v>1.3637850641997695E-2</v>
      </c>
      <c r="R17" s="39">
        <f t="shared" si="8"/>
        <v>329700.45610739291</v>
      </c>
      <c r="S17" s="47">
        <f t="shared" si="5"/>
        <v>4.5951941138344957E-2</v>
      </c>
      <c r="W17" s="217">
        <v>647596</v>
      </c>
      <c r="X17" s="223">
        <v>113034</v>
      </c>
      <c r="Y17" s="486">
        <v>134553.02167780694</v>
      </c>
      <c r="Z17" s="482">
        <v>200000</v>
      </c>
      <c r="AA17" s="11"/>
      <c r="AB17" s="6"/>
    </row>
    <row r="18" spans="1:28" ht="12" customHeight="1" x14ac:dyDescent="0.2">
      <c r="B18" s="38" t="s">
        <v>114</v>
      </c>
      <c r="C18" s="3" t="s">
        <v>149</v>
      </c>
      <c r="D18" s="183">
        <v>4319</v>
      </c>
      <c r="E18" s="94">
        <f>Instruction!L20</f>
        <v>11661921.5</v>
      </c>
      <c r="F18" s="94">
        <f>'Student&amp;Institutional Support'!S21</f>
        <v>6403008.3928849995</v>
      </c>
      <c r="G18" s="94">
        <f>Facilities!H21</f>
        <v>1233206.8343390874</v>
      </c>
      <c r="H18" s="94">
        <f>'Student Success'!E19</f>
        <v>76000</v>
      </c>
      <c r="I18" s="94">
        <f>Research!H21</f>
        <v>32487.667870893492</v>
      </c>
      <c r="J18" s="8">
        <f t="shared" si="0"/>
        <v>19406624.39509498</v>
      </c>
      <c r="K18" s="9">
        <f t="shared" si="1"/>
        <v>3.26574045598403E-2</v>
      </c>
      <c r="L18" s="71">
        <v>17441774.092326824</v>
      </c>
      <c r="M18" s="52">
        <f t="shared" si="6"/>
        <v>3.4278407193357022E-2</v>
      </c>
      <c r="N18" s="18">
        <f t="shared" si="2"/>
        <v>9431312.262702832</v>
      </c>
      <c r="O18" s="55">
        <f t="shared" si="3"/>
        <v>8985311.9007512834</v>
      </c>
      <c r="P18" s="65">
        <f t="shared" si="7"/>
        <v>18416624.163454115</v>
      </c>
      <c r="Q18" s="43">
        <f t="shared" si="4"/>
        <v>3.3467905876598654E-2</v>
      </c>
      <c r="R18" s="39">
        <f t="shared" si="8"/>
        <v>974850.07112729177</v>
      </c>
      <c r="S18" s="47">
        <f t="shared" si="5"/>
        <v>5.5891680855800013E-2</v>
      </c>
      <c r="W18" s="217">
        <v>1954295</v>
      </c>
      <c r="X18" s="223">
        <v>341449</v>
      </c>
      <c r="Y18" s="486">
        <v>391956.94199474761</v>
      </c>
      <c r="Z18" s="482">
        <v>300000</v>
      </c>
      <c r="AA18" s="11"/>
      <c r="AB18" s="6"/>
    </row>
    <row r="19" spans="1:28" x14ac:dyDescent="0.2">
      <c r="A19">
        <v>4</v>
      </c>
      <c r="B19" s="38" t="s">
        <v>26</v>
      </c>
      <c r="C19" s="3" t="s">
        <v>62</v>
      </c>
      <c r="D19" s="183">
        <v>5316</v>
      </c>
      <c r="E19" s="94">
        <f>Instruction!L21</f>
        <v>16303294.5</v>
      </c>
      <c r="F19" s="94">
        <f>'Student&amp;Institutional Support'!S22</f>
        <v>9216856.0179559067</v>
      </c>
      <c r="G19" s="94">
        <f>Facilities!H22</f>
        <v>1601405.7330899755</v>
      </c>
      <c r="H19" s="94">
        <f>'Student Success'!E20</f>
        <v>240000</v>
      </c>
      <c r="I19" s="94">
        <f>Research!H22</f>
        <v>175003.68690456459</v>
      </c>
      <c r="J19" s="8">
        <f t="shared" si="0"/>
        <v>27536559.937950447</v>
      </c>
      <c r="K19" s="9">
        <f t="shared" si="1"/>
        <v>4.633843371066787E-2</v>
      </c>
      <c r="L19" s="71">
        <v>25178171.775651515</v>
      </c>
      <c r="M19" s="52">
        <f t="shared" si="6"/>
        <v>4.9482788845990257E-2</v>
      </c>
      <c r="N19" s="18">
        <f t="shared" si="2"/>
        <v>13614624.232784204</v>
      </c>
      <c r="O19" s="55">
        <f t="shared" si="3"/>
        <v>12749490.827408072</v>
      </c>
      <c r="P19" s="65">
        <f t="shared" si="7"/>
        <v>26364115.060192276</v>
      </c>
      <c r="Q19" s="43">
        <f t="shared" si="4"/>
        <v>4.7910611278329053E-2</v>
      </c>
      <c r="R19" s="39">
        <f t="shared" si="8"/>
        <v>1185943.2845407613</v>
      </c>
      <c r="S19" s="47">
        <f t="shared" si="5"/>
        <v>4.710204120887064E-2</v>
      </c>
      <c r="W19" s="217">
        <v>1944261</v>
      </c>
      <c r="X19" s="223">
        <v>224484</v>
      </c>
      <c r="Y19" s="486">
        <v>0</v>
      </c>
      <c r="Z19" s="482"/>
      <c r="AA19" s="11"/>
      <c r="AB19" s="6"/>
    </row>
    <row r="20" spans="1:28" x14ac:dyDescent="0.2">
      <c r="A20">
        <v>4</v>
      </c>
      <c r="B20" s="38" t="s">
        <v>22</v>
      </c>
      <c r="C20" s="3" t="s">
        <v>23</v>
      </c>
      <c r="D20" s="183">
        <v>13752</v>
      </c>
      <c r="E20" s="94">
        <f>Instruction!L22</f>
        <v>35635658</v>
      </c>
      <c r="F20" s="94">
        <f>'Student&amp;Institutional Support'!S23</f>
        <v>16614246.22423779</v>
      </c>
      <c r="G20" s="94">
        <f>Facilities!H23</f>
        <v>1970745.1011622923</v>
      </c>
      <c r="H20" s="94">
        <f>'Student Success'!E21</f>
        <v>24000</v>
      </c>
      <c r="I20" s="94">
        <f>Research!H23</f>
        <v>765974.51054527506</v>
      </c>
      <c r="J20" s="8">
        <f t="shared" si="0"/>
        <v>55010623.83594536</v>
      </c>
      <c r="K20" s="9">
        <f t="shared" si="1"/>
        <v>9.2571699288090906E-2</v>
      </c>
      <c r="L20" s="71">
        <v>46438329.618291482</v>
      </c>
      <c r="M20" s="52">
        <f t="shared" si="6"/>
        <v>9.1265485013673195E-2</v>
      </c>
      <c r="N20" s="18">
        <f t="shared" si="2"/>
        <v>25110655.904040582</v>
      </c>
      <c r="O20" s="55">
        <f t="shared" si="3"/>
        <v>25470045.844026495</v>
      </c>
      <c r="P20" s="65">
        <f t="shared" si="7"/>
        <v>50580701.748067081</v>
      </c>
      <c r="Q20" s="43">
        <f t="shared" si="4"/>
        <v>9.1918592150882036E-2</v>
      </c>
      <c r="R20" s="39">
        <f t="shared" si="8"/>
        <v>4142372.1297755986</v>
      </c>
      <c r="S20" s="47">
        <f t="shared" si="5"/>
        <v>8.9201574729853544E-2</v>
      </c>
      <c r="W20" s="217">
        <v>4905117</v>
      </c>
      <c r="X20" s="223">
        <v>632971</v>
      </c>
      <c r="Y20" s="486">
        <v>0</v>
      </c>
      <c r="Z20" s="482"/>
      <c r="AA20" s="11"/>
      <c r="AB20" s="6"/>
    </row>
    <row r="21" spans="1:28" x14ac:dyDescent="0.2">
      <c r="A21">
        <v>3</v>
      </c>
      <c r="B21" s="38" t="s">
        <v>24</v>
      </c>
      <c r="C21" s="3" t="s">
        <v>145</v>
      </c>
      <c r="D21" s="183">
        <v>1858</v>
      </c>
      <c r="E21" s="94">
        <f>Instruction!L23</f>
        <v>5965625.9299999997</v>
      </c>
      <c r="F21" s="94">
        <f>'Student&amp;Institutional Support'!S24</f>
        <v>3996271.26074831</v>
      </c>
      <c r="G21" s="94">
        <f>Facilities!H24</f>
        <v>1015278.1547498968</v>
      </c>
      <c r="H21" s="94">
        <f>'Student Success'!E22</f>
        <v>100000</v>
      </c>
      <c r="I21" s="94">
        <f>Research!H24</f>
        <v>0</v>
      </c>
      <c r="J21" s="8">
        <f t="shared" si="0"/>
        <v>11077175.345498206</v>
      </c>
      <c r="K21" s="9">
        <f t="shared" si="1"/>
        <v>1.8640634727266445E-2</v>
      </c>
      <c r="L21" s="71">
        <v>9790768.4002476297</v>
      </c>
      <c r="M21" s="52">
        <f t="shared" si="6"/>
        <v>1.9241846854740941E-2</v>
      </c>
      <c r="N21" s="18">
        <f t="shared" si="2"/>
        <v>5294174.4105699658</v>
      </c>
      <c r="O21" s="55">
        <f t="shared" si="3"/>
        <v>5128757.7598384591</v>
      </c>
      <c r="P21" s="65">
        <f t="shared" si="7"/>
        <v>10422932.170408424</v>
      </c>
      <c r="Q21" s="43">
        <f t="shared" si="4"/>
        <v>1.8941240791003688E-2</v>
      </c>
      <c r="R21" s="39">
        <f t="shared" si="8"/>
        <v>632163.77016079426</v>
      </c>
      <c r="S21" s="47">
        <f t="shared" si="5"/>
        <v>6.4567329582099542E-2</v>
      </c>
      <c r="W21" s="217">
        <v>914452</v>
      </c>
      <c r="X21" s="223">
        <v>166984</v>
      </c>
      <c r="Y21" s="486">
        <v>194262.70988076419</v>
      </c>
      <c r="Z21" s="482">
        <v>300000</v>
      </c>
      <c r="AA21" s="11"/>
      <c r="AB21" s="6"/>
    </row>
    <row r="22" spans="1:28" x14ac:dyDescent="0.2">
      <c r="A22">
        <v>2</v>
      </c>
      <c r="B22" s="38" t="s">
        <v>27</v>
      </c>
      <c r="C22" s="3" t="s">
        <v>137</v>
      </c>
      <c r="D22" s="183">
        <v>6837</v>
      </c>
      <c r="E22" s="94">
        <f>Instruction!L24</f>
        <v>13784675</v>
      </c>
      <c r="F22" s="94">
        <f>'Student&amp;Institutional Support'!S25</f>
        <v>6967975.5461259224</v>
      </c>
      <c r="G22" s="94">
        <f>Facilities!H25</f>
        <v>731153.54360203771</v>
      </c>
      <c r="H22" s="94">
        <f>'Student Success'!E23</f>
        <v>572000</v>
      </c>
      <c r="I22" s="94">
        <f>Research!H25</f>
        <v>34880.62789319484</v>
      </c>
      <c r="J22" s="8">
        <f t="shared" si="0"/>
        <v>22090684.717621155</v>
      </c>
      <c r="K22" s="9">
        <f t="shared" si="1"/>
        <v>3.7174132561125645E-2</v>
      </c>
      <c r="L22" s="71">
        <v>17371638.30773155</v>
      </c>
      <c r="M22" s="52">
        <f t="shared" si="6"/>
        <v>3.4140568979740896E-2</v>
      </c>
      <c r="N22" s="18">
        <f t="shared" si="2"/>
        <v>9393387.6524076741</v>
      </c>
      <c r="O22" s="55">
        <f t="shared" si="3"/>
        <v>10228038.027012806</v>
      </c>
      <c r="P22" s="65">
        <f t="shared" si="7"/>
        <v>19621425.679420479</v>
      </c>
      <c r="Q22" s="43">
        <f t="shared" si="4"/>
        <v>3.5657350770433256E-2</v>
      </c>
      <c r="R22" s="39">
        <f t="shared" si="8"/>
        <v>2249787.3716889285</v>
      </c>
      <c r="S22" s="47">
        <f t="shared" si="5"/>
        <v>0.12950922255200428</v>
      </c>
      <c r="W22" s="217">
        <v>3459251</v>
      </c>
      <c r="X22" s="223">
        <v>524170</v>
      </c>
      <c r="Y22" s="486">
        <v>696448.17582824721</v>
      </c>
      <c r="Z22" s="482"/>
      <c r="AA22" s="11"/>
      <c r="AB22" s="6"/>
    </row>
    <row r="23" spans="1:28" ht="14.25" customHeight="1" x14ac:dyDescent="0.2">
      <c r="A23">
        <v>2</v>
      </c>
      <c r="B23" s="38" t="s">
        <v>29</v>
      </c>
      <c r="C23" s="3" t="s">
        <v>138</v>
      </c>
      <c r="D23" s="183">
        <v>4446</v>
      </c>
      <c r="E23" s="94">
        <f>Instruction!L25</f>
        <v>10300110</v>
      </c>
      <c r="F23" s="94">
        <f>'Student&amp;Institutional Support'!S26</f>
        <v>5540724.2315063383</v>
      </c>
      <c r="G23" s="94">
        <f>Facilities!H26</f>
        <v>673751.63472303364</v>
      </c>
      <c r="H23" s="94">
        <f>'Student Success'!E24</f>
        <v>20000</v>
      </c>
      <c r="I23" s="94">
        <f>Research!H26</f>
        <v>2914.4582126226874</v>
      </c>
      <c r="J23" s="8">
        <f t="shared" si="0"/>
        <v>16537500.324441995</v>
      </c>
      <c r="K23" s="9">
        <f t="shared" si="1"/>
        <v>2.7829251883717373E-2</v>
      </c>
      <c r="L23" s="71">
        <v>12769659.036597149</v>
      </c>
      <c r="M23" s="52">
        <f t="shared" si="6"/>
        <v>2.5096275749229909E-2</v>
      </c>
      <c r="N23" s="18">
        <f t="shared" si="2"/>
        <v>6904953.6603834154</v>
      </c>
      <c r="O23" s="55">
        <f t="shared" si="3"/>
        <v>7656900.8318336969</v>
      </c>
      <c r="P23" s="65">
        <f t="shared" si="7"/>
        <v>14561854.492217112</v>
      </c>
      <c r="Q23" s="43">
        <f t="shared" si="4"/>
        <v>2.6462763816473635E-2</v>
      </c>
      <c r="R23" s="39">
        <f t="shared" si="8"/>
        <v>1792195.4556199629</v>
      </c>
      <c r="S23" s="47">
        <f t="shared" si="5"/>
        <v>0.14034794903165607</v>
      </c>
      <c r="W23" s="217">
        <v>2245446</v>
      </c>
      <c r="X23" s="223">
        <v>408700</v>
      </c>
      <c r="Y23" s="486">
        <v>461012.57759643276</v>
      </c>
      <c r="Z23" s="482"/>
      <c r="AA23" s="11"/>
      <c r="AB23" s="6"/>
    </row>
    <row r="24" spans="1:28" ht="12.75" customHeight="1" x14ac:dyDescent="0.2">
      <c r="A24">
        <v>3</v>
      </c>
      <c r="B24" s="38" t="s">
        <v>123</v>
      </c>
      <c r="C24" s="3" t="s">
        <v>63</v>
      </c>
      <c r="D24" s="184">
        <v>3589</v>
      </c>
      <c r="E24" s="94">
        <f>Instruction!L26</f>
        <v>9718226</v>
      </c>
      <c r="F24" s="94">
        <f>'Student&amp;Institutional Support'!S27</f>
        <v>6403685.2006333489</v>
      </c>
      <c r="G24" s="94">
        <f>Facilities!H27</f>
        <v>1816771.8836195841</v>
      </c>
      <c r="H24" s="94">
        <f>'Student Success'!E25</f>
        <v>368000</v>
      </c>
      <c r="I24" s="94">
        <f>Research!H27</f>
        <v>143012.67021366436</v>
      </c>
      <c r="J24" s="8">
        <f t="shared" si="0"/>
        <v>18449695.754466597</v>
      </c>
      <c r="K24" s="9">
        <f t="shared" si="1"/>
        <v>3.1047088148512331E-2</v>
      </c>
      <c r="L24" s="71">
        <v>16938222.32871554</v>
      </c>
      <c r="M24" s="52">
        <f t="shared" si="6"/>
        <v>3.3288774355284989E-2</v>
      </c>
      <c r="N24" s="18">
        <f t="shared" si="2"/>
        <v>9159026.0894091409</v>
      </c>
      <c r="O24" s="55">
        <f t="shared" si="3"/>
        <v>8542251.7307929676</v>
      </c>
      <c r="P24" s="65">
        <f t="shared" si="7"/>
        <v>17701277.820202108</v>
      </c>
      <c r="Q24" s="43">
        <f t="shared" si="4"/>
        <v>3.2167931251898652E-2</v>
      </c>
      <c r="R24" s="39">
        <f t="shared" si="8"/>
        <v>763055.491486568</v>
      </c>
      <c r="S24" s="47">
        <f t="shared" si="5"/>
        <v>4.5049325524140295E-2</v>
      </c>
      <c r="W24" s="217">
        <v>1683997</v>
      </c>
      <c r="X24" s="223">
        <v>297696</v>
      </c>
      <c r="Y24" s="486">
        <v>331774.9269597528</v>
      </c>
      <c r="Z24" s="482">
        <v>300000</v>
      </c>
      <c r="AA24" s="11"/>
      <c r="AB24" s="6"/>
    </row>
    <row r="25" spans="1:28" x14ac:dyDescent="0.2">
      <c r="A25">
        <v>3</v>
      </c>
      <c r="B25" s="38" t="s">
        <v>115</v>
      </c>
      <c r="C25" s="3" t="s">
        <v>139</v>
      </c>
      <c r="D25" s="183">
        <v>2220</v>
      </c>
      <c r="E25" s="94">
        <f>Instruction!L27</f>
        <v>6590543.7249999996</v>
      </c>
      <c r="F25" s="94">
        <f>'Student&amp;Institutional Support'!S28</f>
        <v>3973495.5620158501</v>
      </c>
      <c r="G25" s="94">
        <f>Facilities!H28</f>
        <v>883035.75935362163</v>
      </c>
      <c r="H25" s="94">
        <f>'Student Success'!E26</f>
        <v>322000</v>
      </c>
      <c r="I25" s="94">
        <f>Research!H28</f>
        <v>36705.145567755586</v>
      </c>
      <c r="J25" s="8">
        <f t="shared" si="0"/>
        <v>11805780.191937227</v>
      </c>
      <c r="K25" s="9">
        <f t="shared" si="1"/>
        <v>1.9866728598616552E-2</v>
      </c>
      <c r="L25" s="71">
        <v>10388082.736504097</v>
      </c>
      <c r="M25" s="52">
        <f t="shared" si="6"/>
        <v>2.0415751752960929E-2</v>
      </c>
      <c r="N25" s="18">
        <f t="shared" si="2"/>
        <v>5617160.9367343048</v>
      </c>
      <c r="O25" s="55">
        <f t="shared" si="3"/>
        <v>5466103.4859353835</v>
      </c>
      <c r="P25" s="65">
        <f t="shared" si="7"/>
        <v>11083264.422669688</v>
      </c>
      <c r="Q25" s="43">
        <f t="shared" si="4"/>
        <v>2.0141240175788735E-2</v>
      </c>
      <c r="R25" s="39">
        <f t="shared" si="8"/>
        <v>695181.6861655917</v>
      </c>
      <c r="S25" s="47">
        <f t="shared" si="5"/>
        <v>6.6921077141857785E-2</v>
      </c>
      <c r="W25" s="217">
        <v>1080663</v>
      </c>
      <c r="X25" s="223">
        <v>186186</v>
      </c>
      <c r="Y25" s="486">
        <v>221775.23199667165</v>
      </c>
      <c r="Z25" s="482">
        <v>200000</v>
      </c>
      <c r="AA25" s="11"/>
      <c r="AB25" s="6"/>
    </row>
    <row r="26" spans="1:28" x14ac:dyDescent="0.2">
      <c r="A26">
        <v>1</v>
      </c>
      <c r="B26" s="38" t="s">
        <v>33</v>
      </c>
      <c r="C26" s="3" t="s">
        <v>135</v>
      </c>
      <c r="D26" s="183">
        <v>728</v>
      </c>
      <c r="E26" s="94">
        <f>Instruction!L28</f>
        <v>2054864</v>
      </c>
      <c r="F26" s="94">
        <f>'Student&amp;Institutional Support'!S29</f>
        <v>2002337.7617269333</v>
      </c>
      <c r="G26" s="94">
        <f>Facilities!H29</f>
        <v>215123.72586022902</v>
      </c>
      <c r="H26" s="94">
        <f>'Student Success'!E27</f>
        <v>24000</v>
      </c>
      <c r="I26" s="94">
        <f>Research!H29</f>
        <v>86900.782168290214</v>
      </c>
      <c r="J26" s="8">
        <f t="shared" si="0"/>
        <v>4383226.2697554529</v>
      </c>
      <c r="K26" s="9">
        <f t="shared" si="1"/>
        <v>7.3760789436880803E-3</v>
      </c>
      <c r="L26" s="71">
        <v>3270940.8058370752</v>
      </c>
      <c r="M26" s="52">
        <f t="shared" si="6"/>
        <v>6.4283965756199548E-3</v>
      </c>
      <c r="N26" s="18">
        <f t="shared" si="2"/>
        <v>1768699.9022787388</v>
      </c>
      <c r="O26" s="55">
        <f t="shared" si="3"/>
        <v>2029443.882846199</v>
      </c>
      <c r="P26" s="65">
        <f t="shared" si="7"/>
        <v>3798143.785124938</v>
      </c>
      <c r="Q26" s="43">
        <f t="shared" si="4"/>
        <v>6.9022377596540171E-3</v>
      </c>
      <c r="R26" s="39">
        <f t="shared" si="8"/>
        <v>527202.97928786278</v>
      </c>
      <c r="S26" s="47">
        <f t="shared" si="5"/>
        <v>0.16117778051716986</v>
      </c>
      <c r="W26" s="217">
        <v>279883</v>
      </c>
      <c r="X26" s="223">
        <v>72738</v>
      </c>
      <c r="Y26" s="486">
        <v>53742.567702865483</v>
      </c>
      <c r="Z26" s="482">
        <v>100000</v>
      </c>
      <c r="AA26" s="11"/>
      <c r="AB26" s="6"/>
    </row>
    <row r="27" spans="1:28" x14ac:dyDescent="0.2">
      <c r="A27">
        <v>3</v>
      </c>
      <c r="B27" s="38" t="s">
        <v>35</v>
      </c>
      <c r="C27" s="3" t="s">
        <v>36</v>
      </c>
      <c r="D27" s="183">
        <v>2737</v>
      </c>
      <c r="E27" s="94">
        <f>Instruction!L29</f>
        <v>8378419</v>
      </c>
      <c r="F27" s="94">
        <f>'Student&amp;Institutional Support'!S30</f>
        <v>4473354.7626770418</v>
      </c>
      <c r="G27" s="94">
        <f>Facilities!H30</f>
        <v>1161420.2506477209</v>
      </c>
      <c r="H27" s="94">
        <f>'Student Success'!E28</f>
        <v>0</v>
      </c>
      <c r="I27" s="94">
        <f>Research!H30</f>
        <v>0</v>
      </c>
      <c r="J27" s="8">
        <f t="shared" si="0"/>
        <v>14013194.013324764</v>
      </c>
      <c r="K27" s="9">
        <f t="shared" si="1"/>
        <v>2.3581357414447921E-2</v>
      </c>
      <c r="L27" s="71">
        <v>12803916.147187568</v>
      </c>
      <c r="M27" s="52">
        <f t="shared" si="6"/>
        <v>2.5163601422631611E-2</v>
      </c>
      <c r="N27" s="18">
        <f t="shared" si="2"/>
        <v>6923477.5505270408</v>
      </c>
      <c r="O27" s="55">
        <f t="shared" si="3"/>
        <v>6488141.1816929942</v>
      </c>
      <c r="P27" s="65">
        <f t="shared" si="7"/>
        <v>13411618.732220035</v>
      </c>
      <c r="Q27" s="43">
        <f t="shared" si="4"/>
        <v>2.4372479418539761E-2</v>
      </c>
      <c r="R27" s="39">
        <f t="shared" si="8"/>
        <v>607702.5850324668</v>
      </c>
      <c r="S27" s="47">
        <f t="shared" si="5"/>
        <v>4.7462243429792467E-2</v>
      </c>
      <c r="W27" s="217">
        <v>1389813</v>
      </c>
      <c r="X27" s="223">
        <v>195877</v>
      </c>
      <c r="Y27" s="486">
        <v>279516.34539839078</v>
      </c>
      <c r="Z27" s="482">
        <v>200000</v>
      </c>
      <c r="AA27" s="11"/>
      <c r="AB27" s="6"/>
    </row>
    <row r="28" spans="1:28" x14ac:dyDescent="0.2">
      <c r="A28">
        <v>3</v>
      </c>
      <c r="B28" s="38" t="s">
        <v>37</v>
      </c>
      <c r="C28" s="3" t="s">
        <v>136</v>
      </c>
      <c r="D28" s="183">
        <v>1998</v>
      </c>
      <c r="E28" s="94">
        <f>Instruction!L30</f>
        <v>5815340.1749999998</v>
      </c>
      <c r="F28" s="94">
        <f>'Student&amp;Institutional Support'!S31</f>
        <v>3805673.6627857536</v>
      </c>
      <c r="G28" s="94">
        <f>Facilities!H31</f>
        <v>947918.43431788299</v>
      </c>
      <c r="H28" s="94">
        <f>'Student Success'!E29</f>
        <v>168000</v>
      </c>
      <c r="I28" s="94">
        <f>Research!H31</f>
        <v>0</v>
      </c>
      <c r="J28" s="8">
        <f t="shared" si="0"/>
        <v>10736932.272103637</v>
      </c>
      <c r="K28" s="9">
        <f t="shared" si="1"/>
        <v>1.8068074787407028E-2</v>
      </c>
      <c r="L28" s="71">
        <v>9798487.3150292635</v>
      </c>
      <c r="M28" s="52">
        <f t="shared" si="6"/>
        <v>1.9257016877158105E-2</v>
      </c>
      <c r="N28" s="18">
        <f t="shared" si="2"/>
        <v>5298348.2689888068</v>
      </c>
      <c r="O28" s="55">
        <f t="shared" si="3"/>
        <v>4971224.431306934</v>
      </c>
      <c r="P28" s="65">
        <f t="shared" si="7"/>
        <v>10269572.700295741</v>
      </c>
      <c r="Q28" s="43">
        <f t="shared" si="4"/>
        <v>1.8662545832282561E-2</v>
      </c>
      <c r="R28" s="39">
        <f t="shared" si="8"/>
        <v>471085.38526647724</v>
      </c>
      <c r="S28" s="47">
        <f t="shared" si="5"/>
        <v>4.8077358282018694E-2</v>
      </c>
      <c r="W28" s="217">
        <v>925177</v>
      </c>
      <c r="X28" s="223">
        <v>161887</v>
      </c>
      <c r="Y28" s="486">
        <v>189456.68142742262</v>
      </c>
      <c r="Z28" s="482">
        <v>300000</v>
      </c>
      <c r="AA28" s="11"/>
      <c r="AB28" s="6"/>
    </row>
    <row r="29" spans="1:28" x14ac:dyDescent="0.2">
      <c r="A29">
        <v>3</v>
      </c>
      <c r="B29" s="38" t="s">
        <v>39</v>
      </c>
      <c r="C29" s="3" t="s">
        <v>140</v>
      </c>
      <c r="D29" s="183">
        <v>3948</v>
      </c>
      <c r="E29" s="94">
        <f>Instruction!L31</f>
        <v>10013244</v>
      </c>
      <c r="F29" s="94">
        <f>'Student&amp;Institutional Support'!S32</f>
        <v>4746530.8704636153</v>
      </c>
      <c r="G29" s="94">
        <f>Facilities!H32</f>
        <v>1209825.9444243812</v>
      </c>
      <c r="H29" s="94">
        <f>'Student Success'!E30</f>
        <v>0</v>
      </c>
      <c r="I29" s="94">
        <f>Research!H32</f>
        <v>180.67481281987816</v>
      </c>
      <c r="J29" s="8">
        <f t="shared" si="0"/>
        <v>15969781.489700817</v>
      </c>
      <c r="K29" s="9">
        <f t="shared" si="1"/>
        <v>2.6873896470796108E-2</v>
      </c>
      <c r="L29" s="71">
        <v>13397026.84580173</v>
      </c>
      <c r="M29" s="52">
        <f t="shared" si="6"/>
        <v>2.6329244890447013E-2</v>
      </c>
      <c r="N29" s="18">
        <f t="shared" si="2"/>
        <v>7244191.0384652242</v>
      </c>
      <c r="O29" s="55">
        <f t="shared" si="3"/>
        <v>7394045.7006049044</v>
      </c>
      <c r="P29" s="65">
        <f t="shared" si="7"/>
        <v>14638236.739070129</v>
      </c>
      <c r="Q29" s="43">
        <f t="shared" si="4"/>
        <v>2.6601570680621554E-2</v>
      </c>
      <c r="R29" s="39">
        <f t="shared" si="8"/>
        <v>1241209.8932683989</v>
      </c>
      <c r="S29" s="47">
        <f t="shared" si="5"/>
        <v>9.2648160487739925E-2</v>
      </c>
      <c r="W29" s="217">
        <v>2017567</v>
      </c>
      <c r="X29" s="223">
        <v>301223</v>
      </c>
      <c r="Y29" s="486">
        <v>412038.09276649466</v>
      </c>
      <c r="Z29" s="482">
        <v>100000</v>
      </c>
      <c r="AA29" s="11"/>
      <c r="AB29" s="6"/>
    </row>
    <row r="30" spans="1:28" x14ac:dyDescent="0.2">
      <c r="A30">
        <v>1</v>
      </c>
      <c r="B30" s="38" t="s">
        <v>46</v>
      </c>
      <c r="C30" s="3" t="s">
        <v>70</v>
      </c>
      <c r="D30" s="183">
        <v>4546</v>
      </c>
      <c r="E30" s="94">
        <f>Instruction!L32</f>
        <v>10463059.5</v>
      </c>
      <c r="F30" s="94">
        <f>'Student&amp;Institutional Support'!S33</f>
        <v>5011782.5373205096</v>
      </c>
      <c r="G30" s="94">
        <f>Facilities!H33</f>
        <v>716446.16680391063</v>
      </c>
      <c r="H30" s="94">
        <f>'Student Success'!E31</f>
        <v>948000</v>
      </c>
      <c r="I30" s="94">
        <f>Research!H33</f>
        <v>49027.484630215702</v>
      </c>
      <c r="J30" s="8">
        <f t="shared" si="0"/>
        <v>17188315.688754637</v>
      </c>
      <c r="K30" s="9">
        <f t="shared" si="1"/>
        <v>2.8924441866962976E-2</v>
      </c>
      <c r="L30" s="71">
        <v>12943526.24077398</v>
      </c>
      <c r="M30" s="52">
        <f t="shared" si="6"/>
        <v>2.5437977848500069E-2</v>
      </c>
      <c r="N30" s="18">
        <f t="shared" si="2"/>
        <v>6998969.0905887755</v>
      </c>
      <c r="O30" s="55">
        <f t="shared" si="3"/>
        <v>7958229.8481065212</v>
      </c>
      <c r="P30" s="65">
        <f t="shared" si="7"/>
        <v>14957198.938695297</v>
      </c>
      <c r="Q30" s="43">
        <f t="shared" si="4"/>
        <v>2.7181209857731516E-2</v>
      </c>
      <c r="R30" s="39">
        <f t="shared" si="8"/>
        <v>2013672.6979213171</v>
      </c>
      <c r="S30" s="47">
        <f t="shared" si="5"/>
        <v>0.15557373319010678</v>
      </c>
      <c r="W30" s="217">
        <v>2317008</v>
      </c>
      <c r="X30" s="223">
        <v>450937</v>
      </c>
      <c r="Y30" s="486">
        <v>467047.81500511424</v>
      </c>
      <c r="Z30" s="482"/>
      <c r="AA30" s="11"/>
      <c r="AB30" s="6"/>
    </row>
    <row r="31" spans="1:28" x14ac:dyDescent="0.2">
      <c r="A31">
        <v>4</v>
      </c>
      <c r="B31" s="38" t="s">
        <v>41</v>
      </c>
      <c r="C31" s="3" t="s">
        <v>122</v>
      </c>
      <c r="D31" s="183">
        <v>2212</v>
      </c>
      <c r="E31" s="94">
        <f>Instruction!L33</f>
        <v>6960871.8599999994</v>
      </c>
      <c r="F31" s="94">
        <f>'Student&amp;Institutional Support'!S34</f>
        <v>3988369.8202982545</v>
      </c>
      <c r="G31" s="94">
        <f>Facilities!H34</f>
        <v>741076.48573677731</v>
      </c>
      <c r="H31" s="94">
        <f>'Student Success'!E32</f>
        <v>10000</v>
      </c>
      <c r="I31" s="94">
        <f>Research!H34</f>
        <v>0</v>
      </c>
      <c r="J31" s="8">
        <f t="shared" si="0"/>
        <v>11700318.166035032</v>
      </c>
      <c r="K31" s="9">
        <f t="shared" si="1"/>
        <v>1.9689257443640272E-2</v>
      </c>
      <c r="L31" s="71">
        <v>10677553.619786751</v>
      </c>
      <c r="M31" s="52">
        <f t="shared" si="6"/>
        <v>2.0984650349815753E-2</v>
      </c>
      <c r="N31" s="18">
        <f t="shared" si="2"/>
        <v>5773686.8885524841</v>
      </c>
      <c r="O31" s="55">
        <f t="shared" si="3"/>
        <v>5417274.324452986</v>
      </c>
      <c r="P31" s="65">
        <f t="shared" si="7"/>
        <v>11190961.21300547</v>
      </c>
      <c r="Q31" s="43">
        <f t="shared" si="4"/>
        <v>2.0336953896728009E-2</v>
      </c>
      <c r="R31" s="39">
        <f t="shared" si="8"/>
        <v>513407.59321871959</v>
      </c>
      <c r="S31" s="47">
        <f t="shared" si="5"/>
        <v>4.8082885977487909E-2</v>
      </c>
      <c r="W31" s="217">
        <v>1125455</v>
      </c>
      <c r="X31" s="223">
        <v>168951</v>
      </c>
      <c r="Y31" s="486">
        <v>226224.11629396936</v>
      </c>
      <c r="Z31" s="482">
        <v>200000</v>
      </c>
      <c r="AA31" s="11"/>
      <c r="AB31" s="6"/>
    </row>
    <row r="32" spans="1:28" x14ac:dyDescent="0.2">
      <c r="A32">
        <v>4</v>
      </c>
      <c r="B32" s="38" t="s">
        <v>42</v>
      </c>
      <c r="C32" s="3" t="s">
        <v>69</v>
      </c>
      <c r="D32" s="183">
        <v>3712</v>
      </c>
      <c r="E32" s="94">
        <f>Instruction!L34</f>
        <v>9078428</v>
      </c>
      <c r="F32" s="94">
        <f>'Student&amp;Institutional Support'!S35</f>
        <v>7701174.6029426139</v>
      </c>
      <c r="G32" s="94">
        <f>Facilities!H35</f>
        <v>1157053.1871850207</v>
      </c>
      <c r="H32" s="94">
        <f>'Student Success'!E33</f>
        <v>90000</v>
      </c>
      <c r="I32" s="94">
        <f>Research!H35</f>
        <v>94277.547276329497</v>
      </c>
      <c r="J32" s="8">
        <f t="shared" si="0"/>
        <v>18120933.337403964</v>
      </c>
      <c r="K32" s="9">
        <f t="shared" si="1"/>
        <v>3.0493847819874912E-2</v>
      </c>
      <c r="L32" s="71">
        <v>15239968.870228644</v>
      </c>
      <c r="M32" s="52">
        <f t="shared" si="6"/>
        <v>2.9951188209552799E-2</v>
      </c>
      <c r="N32" s="18">
        <f t="shared" si="2"/>
        <v>8240727.3783135051</v>
      </c>
      <c r="O32" s="55">
        <f t="shared" si="3"/>
        <v>8390033.9726495557</v>
      </c>
      <c r="P32" s="65">
        <f t="shared" si="7"/>
        <v>16630761.35096306</v>
      </c>
      <c r="Q32" s="43">
        <f t="shared" si="4"/>
        <v>3.0222518014713848E-2</v>
      </c>
      <c r="R32" s="39">
        <f t="shared" si="8"/>
        <v>1390792.4807344154</v>
      </c>
      <c r="S32" s="47">
        <f t="shared" si="5"/>
        <v>9.1259535539559761E-2</v>
      </c>
      <c r="W32" s="217">
        <v>888003</v>
      </c>
      <c r="X32" s="223">
        <v>282950</v>
      </c>
      <c r="Y32" s="486">
        <v>0</v>
      </c>
      <c r="Z32" s="482"/>
      <c r="AA32" s="11"/>
      <c r="AB32" s="6"/>
    </row>
    <row r="33" spans="1:28" x14ac:dyDescent="0.2">
      <c r="A33">
        <v>1</v>
      </c>
      <c r="B33" s="38" t="s">
        <v>43</v>
      </c>
      <c r="C33" s="3" t="s">
        <v>44</v>
      </c>
      <c r="D33" s="183">
        <v>11837</v>
      </c>
      <c r="E33" s="94">
        <f>Instruction!L35</f>
        <v>34460911</v>
      </c>
      <c r="F33" s="94">
        <f>'Student&amp;Institutional Support'!S36</f>
        <v>18622592.204925716</v>
      </c>
      <c r="G33" s="94">
        <f>Facilities!H36</f>
        <v>2949931.3510988858</v>
      </c>
      <c r="H33" s="94">
        <f>'Student Success'!E34</f>
        <v>88000</v>
      </c>
      <c r="I33" s="94">
        <f>Research!H36</f>
        <v>794758.95807522628</v>
      </c>
      <c r="J33" s="8">
        <f t="shared" si="0"/>
        <v>56916193.514099829</v>
      </c>
      <c r="K33" s="9">
        <f t="shared" si="1"/>
        <v>9.5778385759138593E-2</v>
      </c>
      <c r="L33" s="71">
        <v>51815948.976528361</v>
      </c>
      <c r="M33" s="52">
        <f t="shared" si="6"/>
        <v>0.10183414764608385</v>
      </c>
      <c r="N33" s="18">
        <f t="shared" si="2"/>
        <v>28018502.727936778</v>
      </c>
      <c r="O33" s="55">
        <f t="shared" si="3"/>
        <v>26352329.004572421</v>
      </c>
      <c r="P33" s="65">
        <f t="shared" si="7"/>
        <v>54370831.732509196</v>
      </c>
      <c r="Q33" s="43">
        <f t="shared" si="4"/>
        <v>9.8806266702611195E-2</v>
      </c>
      <c r="R33" s="39">
        <f t="shared" si="8"/>
        <v>2554882.7559808344</v>
      </c>
      <c r="S33" s="47">
        <f t="shared" si="5"/>
        <v>4.9306879569804805E-2</v>
      </c>
      <c r="W33" s="217">
        <v>3985680</v>
      </c>
      <c r="X33" s="223">
        <v>679286</v>
      </c>
      <c r="Y33" s="486">
        <v>0</v>
      </c>
      <c r="Z33" s="482"/>
      <c r="AA33" s="11"/>
      <c r="AB33" s="6"/>
    </row>
    <row r="34" spans="1:28" x14ac:dyDescent="0.2">
      <c r="A34">
        <v>1</v>
      </c>
      <c r="B34" s="38" t="s">
        <v>45</v>
      </c>
      <c r="C34" s="3" t="s">
        <v>141</v>
      </c>
      <c r="D34" s="183">
        <v>3373</v>
      </c>
      <c r="E34" s="94">
        <f>Instruction!L36</f>
        <v>8225131</v>
      </c>
      <c r="F34" s="94">
        <f>'Student&amp;Institutional Support'!S37</f>
        <v>4032266.9568701172</v>
      </c>
      <c r="G34" s="94">
        <f>Facilities!H37</f>
        <v>722601.54329703283</v>
      </c>
      <c r="H34" s="94">
        <f>'Student Success'!E35</f>
        <v>386000</v>
      </c>
      <c r="I34" s="94">
        <f>Research!H37</f>
        <v>48457.801470924147</v>
      </c>
      <c r="J34" s="8">
        <f t="shared" si="0"/>
        <v>13414457.301638074</v>
      </c>
      <c r="K34" s="9">
        <f t="shared" si="1"/>
        <v>2.2573805218852137E-2</v>
      </c>
      <c r="L34" s="71">
        <v>11021326.522674043</v>
      </c>
      <c r="M34" s="52">
        <f t="shared" si="6"/>
        <v>2.1660268981546407E-2</v>
      </c>
      <c r="N34" s="18">
        <f t="shared" si="2"/>
        <v>5959575.6391705899</v>
      </c>
      <c r="O34" s="55">
        <f t="shared" si="3"/>
        <v>6210924.7018246632</v>
      </c>
      <c r="P34" s="65">
        <f t="shared" si="7"/>
        <v>12170500.340995252</v>
      </c>
      <c r="Q34" s="43">
        <f t="shared" si="4"/>
        <v>2.2117037100199265E-2</v>
      </c>
      <c r="R34" s="39">
        <f t="shared" si="8"/>
        <v>1149173.8183212094</v>
      </c>
      <c r="S34" s="47">
        <f t="shared" si="5"/>
        <v>0.10426819457322382</v>
      </c>
      <c r="W34" s="217">
        <v>1708263</v>
      </c>
      <c r="X34" s="223">
        <v>286521</v>
      </c>
      <c r="Y34" s="486">
        <v>339015.70318175841</v>
      </c>
      <c r="Z34" s="482">
        <v>100000</v>
      </c>
      <c r="AA34" s="11"/>
      <c r="AB34" s="6"/>
    </row>
    <row r="35" spans="1:28" x14ac:dyDescent="0.2">
      <c r="A35">
        <v>4</v>
      </c>
      <c r="B35" s="38" t="s">
        <v>47</v>
      </c>
      <c r="C35" s="3" t="s">
        <v>48</v>
      </c>
      <c r="D35" s="183">
        <v>7890</v>
      </c>
      <c r="E35" s="94">
        <f>Instruction!L37</f>
        <v>21647982.5</v>
      </c>
      <c r="F35" s="94">
        <f>'Student&amp;Institutional Support'!S38</f>
        <v>11002492.31094479</v>
      </c>
      <c r="G35" s="94">
        <f>Facilities!H38</f>
        <v>1574165.0694571652</v>
      </c>
      <c r="H35" s="94">
        <f>'Student Success'!E36</f>
        <v>368000</v>
      </c>
      <c r="I35" s="94">
        <f>Research!H38</f>
        <v>95778.463677083579</v>
      </c>
      <c r="J35" s="8">
        <f t="shared" si="0"/>
        <v>34688418.34407904</v>
      </c>
      <c r="K35" s="9">
        <f t="shared" si="1"/>
        <v>5.8373557829557325E-2</v>
      </c>
      <c r="L35" s="71">
        <v>29399312.827754088</v>
      </c>
      <c r="M35" s="52">
        <f t="shared" si="6"/>
        <v>5.7778618790733254E-2</v>
      </c>
      <c r="N35" s="18">
        <f t="shared" si="2"/>
        <v>15897127.099554354</v>
      </c>
      <c r="O35" s="55">
        <f t="shared" si="3"/>
        <v>16060817.781585505</v>
      </c>
      <c r="P35" s="65">
        <f>N35+O35</f>
        <v>31957944.88113986</v>
      </c>
      <c r="Q35" s="43">
        <f t="shared" si="4"/>
        <v>5.8076088310145275E-2</v>
      </c>
      <c r="R35" s="39">
        <f t="shared" si="8"/>
        <v>2558632.0533857718</v>
      </c>
      <c r="S35" s="47">
        <f t="shared" si="5"/>
        <v>8.7030335313494953E-2</v>
      </c>
      <c r="W35" s="217">
        <v>3082093</v>
      </c>
      <c r="X35" s="223">
        <v>340227</v>
      </c>
      <c r="Y35" s="486">
        <v>0</v>
      </c>
      <c r="Z35" s="482"/>
      <c r="AA35" s="11"/>
      <c r="AB35" s="6"/>
    </row>
    <row r="36" spans="1:28" x14ac:dyDescent="0.2">
      <c r="N36" s="17"/>
      <c r="O36" s="54"/>
      <c r="P36" s="57"/>
      <c r="R36" s="11"/>
      <c r="Y36" s="178">
        <v>0</v>
      </c>
      <c r="Z36" s="178">
        <v>0</v>
      </c>
    </row>
    <row r="37" spans="1:28" x14ac:dyDescent="0.2">
      <c r="B37" s="4"/>
      <c r="C37" s="4" t="s">
        <v>49</v>
      </c>
      <c r="D37" s="185">
        <f t="shared" ref="D37:M37" si="9">SUM(D6:D36)</f>
        <v>135088</v>
      </c>
      <c r="E37" s="185">
        <f t="shared" si="9"/>
        <v>355094868.69000006</v>
      </c>
      <c r="F37" s="185">
        <f t="shared" si="9"/>
        <v>197371806.87468988</v>
      </c>
      <c r="G37" s="185">
        <f t="shared" si="9"/>
        <v>33396391.223051388</v>
      </c>
      <c r="H37" s="185">
        <f t="shared" si="9"/>
        <v>5224000</v>
      </c>
      <c r="I37" s="185">
        <f t="shared" si="9"/>
        <v>3161761.515039199</v>
      </c>
      <c r="J37" s="12">
        <f t="shared" si="9"/>
        <v>594248828.30278051</v>
      </c>
      <c r="K37" s="7">
        <f t="shared" si="9"/>
        <v>0.99999999999999989</v>
      </c>
      <c r="L37" s="67">
        <f t="shared" si="9"/>
        <v>508826854.00000006</v>
      </c>
      <c r="M37" s="53">
        <f t="shared" si="9"/>
        <v>1</v>
      </c>
      <c r="N37" s="5">
        <f t="shared" ref="N37:R37" si="10">SUM(N6:N36)</f>
        <v>275138579.50000006</v>
      </c>
      <c r="O37" s="58">
        <f t="shared" si="10"/>
        <v>275138579.5</v>
      </c>
      <c r="P37" s="58">
        <f t="shared" si="10"/>
        <v>550277159.00000012</v>
      </c>
      <c r="Q37" s="7">
        <f>SUM(Q6:Q36)</f>
        <v>0.99999999999999978</v>
      </c>
      <c r="R37" s="5">
        <f t="shared" si="10"/>
        <v>41450304.999999963</v>
      </c>
      <c r="S37" s="216">
        <f>R37/L37</f>
        <v>8.1462494902047683E-2</v>
      </c>
      <c r="W37" s="215">
        <f>SUM(W6:W36)</f>
        <v>58681813</v>
      </c>
      <c r="X37" s="215">
        <f>SUM(X6:X36)</f>
        <v>9601009</v>
      </c>
      <c r="Y37" s="215">
        <f>SUM(Y6:Y36)</f>
        <v>8000000</v>
      </c>
      <c r="Z37" s="215">
        <f>SUM(Z6:Z36)</f>
        <v>3000000</v>
      </c>
    </row>
    <row r="38" spans="1:28" ht="18.75" customHeight="1" x14ac:dyDescent="0.2">
      <c r="B38" s="4"/>
      <c r="C38" s="4"/>
      <c r="D38" s="185"/>
      <c r="E38" s="185"/>
      <c r="F38" s="185"/>
      <c r="G38" s="185"/>
      <c r="H38" s="185"/>
      <c r="I38" s="185"/>
      <c r="J38" s="12"/>
      <c r="K38" s="7"/>
      <c r="L38" s="72"/>
      <c r="M38" s="53"/>
      <c r="N38" s="5"/>
      <c r="O38" s="58"/>
      <c r="P38" s="58"/>
      <c r="Q38" s="7"/>
      <c r="R38" s="5"/>
    </row>
    <row r="39" spans="1:28" ht="21" hidden="1" customHeight="1" x14ac:dyDescent="0.2">
      <c r="B39" s="16" t="s">
        <v>50</v>
      </c>
      <c r="E39" s="219"/>
      <c r="F39" s="219"/>
      <c r="G39" s="219"/>
      <c r="H39" s="219"/>
      <c r="I39" s="219"/>
      <c r="N39" s="24"/>
      <c r="O39" s="106">
        <f>(O41)/2</f>
        <v>275138579.5</v>
      </c>
      <c r="P39" s="44"/>
      <c r="Q39" s="59"/>
      <c r="R39" s="24"/>
    </row>
    <row r="40" spans="1:28" ht="12" customHeight="1" x14ac:dyDescent="0.2">
      <c r="B40" s="488"/>
      <c r="C40" s="489"/>
      <c r="L40" s="89"/>
      <c r="N40" s="15"/>
      <c r="P40" s="44"/>
      <c r="Q40" s="56"/>
      <c r="R40" s="310"/>
      <c r="S40" s="477"/>
    </row>
    <row r="41" spans="1:28" hidden="1" x14ac:dyDescent="0.2">
      <c r="J41" s="200"/>
      <c r="N41" s="174" t="s">
        <v>132</v>
      </c>
      <c r="O41" s="478">
        <f>510434159+39843000</f>
        <v>550277159</v>
      </c>
      <c r="R41" s="11"/>
    </row>
    <row r="42" spans="1:28" x14ac:dyDescent="0.2">
      <c r="R42" s="11"/>
      <c r="S42" s="368"/>
    </row>
    <row r="43" spans="1:28" x14ac:dyDescent="0.2">
      <c r="J43" s="178"/>
      <c r="N43" s="214"/>
      <c r="O43" s="59"/>
      <c r="R43" s="11"/>
      <c r="S43" s="368"/>
    </row>
    <row r="44" spans="1:28" x14ac:dyDescent="0.2">
      <c r="Q44" s="24"/>
      <c r="R44" s="11"/>
      <c r="S44" s="368"/>
    </row>
    <row r="45" spans="1:28" x14ac:dyDescent="0.2">
      <c r="P45" s="136"/>
      <c r="R45" s="11"/>
      <c r="S45" s="368"/>
    </row>
    <row r="46" spans="1:28" x14ac:dyDescent="0.2">
      <c r="O46" s="57"/>
      <c r="P46" s="136"/>
      <c r="R46" s="11"/>
      <c r="S46" s="368"/>
    </row>
    <row r="47" spans="1:28" x14ac:dyDescent="0.2">
      <c r="R47" s="11"/>
      <c r="S47" s="368"/>
    </row>
    <row r="48" spans="1:28" x14ac:dyDescent="0.2">
      <c r="P48" s="59"/>
    </row>
    <row r="51" spans="16:27" x14ac:dyDescent="0.2">
      <c r="P51" s="155"/>
    </row>
    <row r="58" spans="16:27" x14ac:dyDescent="0.2">
      <c r="P58" s="59"/>
      <c r="Q58" s="24"/>
      <c r="R58" s="24"/>
      <c r="W58" s="178"/>
      <c r="Y58" s="178"/>
      <c r="Z58" s="178"/>
      <c r="AA58" s="368"/>
    </row>
  </sheetData>
  <mergeCells count="1">
    <mergeCell ref="B40:C40"/>
  </mergeCells>
  <pageMargins left="0.3" right="0.08" top="0.82" bottom="0.13" header="0.18" footer="0.13"/>
  <pageSetup scale="80" orientation="landscape" copies="4" r:id="rId1"/>
  <headerFooter alignWithMargins="0">
    <oddHeader>&amp;C&amp;"Arial,Bold"Minnesota State
FY2018 COLLEGE/UNIVERSITY ALLOCATIONS DRAFT
(FRAMEWORK BASED ON FY2016 DATA)
&amp;RSP-6</oddHeader>
  </headerFooter>
  <colBreaks count="2" manualBreakCount="2">
    <brk id="11" max="1048575" man="1"/>
    <brk id="1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:N49"/>
  <sheetViews>
    <sheetView zoomScale="80" zoomScaleNormal="80" workbookViewId="0">
      <selection activeCell="H33" sqref="H33"/>
    </sheetView>
  </sheetViews>
  <sheetFormatPr defaultRowHeight="15" customHeight="1" x14ac:dyDescent="0.2"/>
  <cols>
    <col min="1" max="1" width="7.28515625" style="66" customWidth="1"/>
    <col min="2" max="2" width="31.7109375" style="66" customWidth="1"/>
    <col min="3" max="3" width="16.140625" style="56" customWidth="1"/>
    <col min="4" max="4" width="12.7109375" style="57" customWidth="1"/>
    <col min="5" max="5" width="12.5703125" style="57" customWidth="1"/>
    <col min="6" max="6" width="13" style="57" customWidth="1"/>
    <col min="7" max="7" width="11" style="57" customWidth="1"/>
    <col min="8" max="8" width="10.42578125" style="57" customWidth="1"/>
    <col min="9" max="9" width="12.85546875" style="74" customWidth="1"/>
    <col min="10" max="11" width="15.85546875" style="56" customWidth="1"/>
    <col min="12" max="12" width="13.7109375" style="56" customWidth="1"/>
    <col min="13" max="13" width="11.28515625" style="66" bestFit="1" customWidth="1"/>
    <col min="14" max="14" width="12.28515625" style="66" bestFit="1" customWidth="1"/>
    <col min="15" max="16384" width="9.140625" style="66"/>
  </cols>
  <sheetData>
    <row r="1" spans="1:14" ht="15" customHeight="1" x14ac:dyDescent="0.25">
      <c r="A1" s="73" t="s">
        <v>72</v>
      </c>
    </row>
    <row r="2" spans="1:14" ht="15" customHeight="1" x14ac:dyDescent="0.2">
      <c r="A2" s="75" t="s">
        <v>73</v>
      </c>
      <c r="G2" s="58"/>
    </row>
    <row r="3" spans="1:14" ht="15" customHeight="1" x14ac:dyDescent="0.2">
      <c r="A3" s="76" t="s">
        <v>308</v>
      </c>
    </row>
    <row r="4" spans="1:14" s="77" customFormat="1" ht="15" customHeight="1" x14ac:dyDescent="0.2">
      <c r="C4" s="105"/>
      <c r="D4" s="91" t="s">
        <v>74</v>
      </c>
      <c r="E4" s="91" t="s">
        <v>75</v>
      </c>
      <c r="F4" s="91" t="s">
        <v>76</v>
      </c>
      <c r="G4" s="91" t="s">
        <v>77</v>
      </c>
      <c r="H4" s="91" t="s">
        <v>78</v>
      </c>
      <c r="I4" s="78" t="s">
        <v>79</v>
      </c>
      <c r="J4" s="105" t="s">
        <v>80</v>
      </c>
      <c r="K4" s="105"/>
      <c r="L4" s="105" t="s">
        <v>152</v>
      </c>
    </row>
    <row r="5" spans="1:14" ht="27.75" customHeight="1" x14ac:dyDescent="0.2">
      <c r="B5" s="79"/>
      <c r="C5" s="105" t="s">
        <v>81</v>
      </c>
      <c r="D5" s="186" t="s">
        <v>126</v>
      </c>
      <c r="E5" s="187"/>
      <c r="F5" s="188" t="s">
        <v>82</v>
      </c>
      <c r="G5" s="187" t="s">
        <v>126</v>
      </c>
      <c r="H5" s="189" t="s">
        <v>126</v>
      </c>
      <c r="I5" s="78" t="s">
        <v>83</v>
      </c>
      <c r="J5" s="105" t="s">
        <v>84</v>
      </c>
      <c r="K5" s="105" t="s">
        <v>116</v>
      </c>
      <c r="L5" s="105" t="s">
        <v>128</v>
      </c>
    </row>
    <row r="6" spans="1:14" s="83" customFormat="1" ht="90" customHeight="1" x14ac:dyDescent="0.2">
      <c r="A6" s="80" t="s">
        <v>0</v>
      </c>
      <c r="B6" s="81" t="s">
        <v>85</v>
      </c>
      <c r="C6" s="138" t="s">
        <v>204</v>
      </c>
      <c r="D6" s="107" t="s">
        <v>86</v>
      </c>
      <c r="E6" s="190" t="s">
        <v>87</v>
      </c>
      <c r="F6" s="190" t="s">
        <v>88</v>
      </c>
      <c r="G6" s="107" t="s">
        <v>89</v>
      </c>
      <c r="H6" s="107" t="s">
        <v>90</v>
      </c>
      <c r="I6" s="82" t="s">
        <v>91</v>
      </c>
      <c r="J6" s="458" t="s">
        <v>150</v>
      </c>
      <c r="K6" s="458" t="s">
        <v>142</v>
      </c>
      <c r="L6" s="458" t="s">
        <v>151</v>
      </c>
    </row>
    <row r="7" spans="1:14" ht="15" customHeight="1" x14ac:dyDescent="0.2">
      <c r="B7" s="84"/>
      <c r="C7" s="134"/>
      <c r="D7" s="191"/>
      <c r="E7" s="192"/>
      <c r="F7" s="192"/>
    </row>
    <row r="8" spans="1:14" ht="15" customHeight="1" x14ac:dyDescent="0.2">
      <c r="A8" s="85" t="s">
        <v>2</v>
      </c>
      <c r="B8" s="3" t="s">
        <v>133</v>
      </c>
      <c r="C8" s="135">
        <v>6297963</v>
      </c>
      <c r="D8" s="94">
        <v>-223796</v>
      </c>
      <c r="E8" s="193"/>
      <c r="F8" s="133"/>
      <c r="G8" s="94"/>
      <c r="H8" s="94"/>
      <c r="I8" s="71">
        <f>SUM(D8:H8)</f>
        <v>-223796</v>
      </c>
      <c r="J8" s="367">
        <f t="shared" ref="J8:J12" si="0">+C8+I8</f>
        <v>6074167</v>
      </c>
      <c r="K8" s="367">
        <v>5285309</v>
      </c>
      <c r="L8" s="367">
        <f>AVERAGE(J8:K8)</f>
        <v>5679738</v>
      </c>
      <c r="M8" s="74"/>
      <c r="N8" s="212"/>
    </row>
    <row r="9" spans="1:14" s="56" customFormat="1" ht="15" customHeight="1" x14ac:dyDescent="0.2">
      <c r="A9" s="10" t="s">
        <v>4</v>
      </c>
      <c r="B9" s="3" t="s">
        <v>129</v>
      </c>
      <c r="C9" s="135">
        <v>16536878</v>
      </c>
      <c r="D9" s="94">
        <v>584385</v>
      </c>
      <c r="E9" s="193"/>
      <c r="F9" s="133"/>
      <c r="G9" s="133"/>
      <c r="H9" s="133"/>
      <c r="I9" s="133">
        <f t="shared" ref="I9:I15" si="1">SUM(D9:H9)</f>
        <v>584385</v>
      </c>
      <c r="J9" s="367">
        <f t="shared" si="0"/>
        <v>17121263</v>
      </c>
      <c r="K9" s="367">
        <v>14747375</v>
      </c>
      <c r="L9" s="367">
        <f t="shared" ref="L9:L37" si="2">AVERAGE(J9:K9)</f>
        <v>15934319</v>
      </c>
      <c r="M9" s="74"/>
      <c r="N9" s="212"/>
    </row>
    <row r="10" spans="1:14" ht="15" customHeight="1" x14ac:dyDescent="0.2">
      <c r="A10" s="85" t="s">
        <v>5</v>
      </c>
      <c r="B10" s="3" t="s">
        <v>118</v>
      </c>
      <c r="C10" s="135">
        <f>5899220+6042301+687431</f>
        <v>12628952</v>
      </c>
      <c r="D10" s="94">
        <v>261200</v>
      </c>
      <c r="E10" s="193"/>
      <c r="F10" s="194">
        <v>302095</v>
      </c>
      <c r="G10" s="194">
        <v>228937</v>
      </c>
      <c r="H10" s="194">
        <v>6151</v>
      </c>
      <c r="I10" s="71">
        <f t="shared" si="1"/>
        <v>798383</v>
      </c>
      <c r="J10" s="367">
        <f>+C10+I10</f>
        <v>13427335</v>
      </c>
      <c r="K10" s="367">
        <v>12404106</v>
      </c>
      <c r="L10" s="367">
        <f t="shared" si="2"/>
        <v>12915720.5</v>
      </c>
      <c r="M10" s="74"/>
      <c r="N10" s="212"/>
    </row>
    <row r="11" spans="1:14" ht="15" customHeight="1" x14ac:dyDescent="0.2">
      <c r="A11" s="85" t="s">
        <v>6</v>
      </c>
      <c r="B11" s="3" t="s">
        <v>7</v>
      </c>
      <c r="C11" s="135">
        <v>8669466</v>
      </c>
      <c r="D11" s="94">
        <v>-763292</v>
      </c>
      <c r="E11" s="469">
        <v>17021</v>
      </c>
      <c r="F11" s="133"/>
      <c r="G11" s="94"/>
      <c r="H11" s="94"/>
      <c r="I11" s="71">
        <f t="shared" si="1"/>
        <v>-746271</v>
      </c>
      <c r="J11" s="367">
        <f t="shared" si="0"/>
        <v>7923195</v>
      </c>
      <c r="K11" s="367">
        <v>6956679</v>
      </c>
      <c r="L11" s="367">
        <f t="shared" si="2"/>
        <v>7439937</v>
      </c>
      <c r="M11" s="74"/>
      <c r="N11" s="468"/>
    </row>
    <row r="12" spans="1:14" ht="15" customHeight="1" x14ac:dyDescent="0.2">
      <c r="A12" s="85" t="s">
        <v>8</v>
      </c>
      <c r="B12" s="3" t="s">
        <v>9</v>
      </c>
      <c r="C12" s="135">
        <v>14745325</v>
      </c>
      <c r="D12" s="94">
        <v>704060</v>
      </c>
      <c r="E12" s="193"/>
      <c r="F12" s="133"/>
      <c r="G12" s="94"/>
      <c r="H12" s="94"/>
      <c r="I12" s="71">
        <f t="shared" si="1"/>
        <v>704060</v>
      </c>
      <c r="J12" s="367">
        <f t="shared" si="0"/>
        <v>15449385</v>
      </c>
      <c r="K12" s="367">
        <v>13369027</v>
      </c>
      <c r="L12" s="367">
        <f t="shared" si="2"/>
        <v>14409206</v>
      </c>
      <c r="M12" s="74"/>
      <c r="N12" s="212"/>
    </row>
    <row r="13" spans="1:14" ht="15" customHeight="1" x14ac:dyDescent="0.2">
      <c r="A13" s="85" t="s">
        <v>10</v>
      </c>
      <c r="B13" s="3" t="s">
        <v>161</v>
      </c>
      <c r="C13" s="135">
        <v>15287445</v>
      </c>
      <c r="D13" s="94">
        <v>-237756</v>
      </c>
      <c r="E13" s="193"/>
      <c r="F13" s="133"/>
      <c r="G13" s="94"/>
      <c r="H13" s="94"/>
      <c r="I13" s="71">
        <f t="shared" si="1"/>
        <v>-237756</v>
      </c>
      <c r="J13" s="367">
        <f t="shared" ref="J13:J37" si="3">+C13+I13</f>
        <v>15049689</v>
      </c>
      <c r="K13" s="367">
        <v>13270485</v>
      </c>
      <c r="L13" s="367">
        <f t="shared" si="2"/>
        <v>14160087</v>
      </c>
      <c r="M13" s="74"/>
      <c r="N13" s="212"/>
    </row>
    <row r="14" spans="1:14" ht="15" customHeight="1" x14ac:dyDescent="0.2">
      <c r="A14" s="85" t="s">
        <v>12</v>
      </c>
      <c r="B14" s="3" t="s">
        <v>13</v>
      </c>
      <c r="C14" s="135">
        <v>2831765</v>
      </c>
      <c r="D14" s="94">
        <v>2742</v>
      </c>
      <c r="E14" s="193"/>
      <c r="F14" s="133"/>
      <c r="G14" s="94"/>
      <c r="H14" s="94"/>
      <c r="I14" s="71">
        <f t="shared" si="1"/>
        <v>2742</v>
      </c>
      <c r="J14" s="367">
        <f t="shared" si="3"/>
        <v>2834507</v>
      </c>
      <c r="K14" s="367">
        <v>2485882</v>
      </c>
      <c r="L14" s="367">
        <f t="shared" si="2"/>
        <v>2660194.5</v>
      </c>
      <c r="M14" s="74"/>
      <c r="N14" s="212"/>
    </row>
    <row r="15" spans="1:14" ht="15" customHeight="1" x14ac:dyDescent="0.2">
      <c r="A15" s="85" t="s">
        <v>14</v>
      </c>
      <c r="B15" s="3" t="s">
        <v>147</v>
      </c>
      <c r="C15" s="135">
        <v>12233873</v>
      </c>
      <c r="D15" s="94">
        <v>-476364</v>
      </c>
      <c r="E15" s="193"/>
      <c r="F15" s="133"/>
      <c r="G15" s="94"/>
      <c r="H15" s="94"/>
      <c r="I15" s="71">
        <f t="shared" si="1"/>
        <v>-476364</v>
      </c>
      <c r="J15" s="367">
        <f t="shared" si="3"/>
        <v>11757509</v>
      </c>
      <c r="K15" s="367">
        <v>10514913</v>
      </c>
      <c r="L15" s="367">
        <f t="shared" si="2"/>
        <v>11136211</v>
      </c>
      <c r="M15" s="74"/>
      <c r="N15" s="212"/>
    </row>
    <row r="16" spans="1:14" ht="15" customHeight="1" x14ac:dyDescent="0.2">
      <c r="A16" s="85" t="s">
        <v>16</v>
      </c>
      <c r="B16" s="3" t="s">
        <v>17</v>
      </c>
      <c r="C16" s="135">
        <v>8823100</v>
      </c>
      <c r="D16" s="94">
        <v>339851</v>
      </c>
      <c r="E16" s="193"/>
      <c r="F16" s="133"/>
      <c r="G16" s="94"/>
      <c r="H16" s="94"/>
      <c r="I16" s="71">
        <f>SUM(D16:H16)</f>
        <v>339851</v>
      </c>
      <c r="J16" s="367">
        <f t="shared" si="3"/>
        <v>9162951</v>
      </c>
      <c r="K16" s="367">
        <v>8405326</v>
      </c>
      <c r="L16" s="367">
        <f t="shared" si="2"/>
        <v>8784138.5</v>
      </c>
      <c r="M16" s="74"/>
      <c r="N16" s="212"/>
    </row>
    <row r="17" spans="1:14" ht="15" customHeight="1" x14ac:dyDescent="0.2">
      <c r="A17" s="85" t="s">
        <v>18</v>
      </c>
      <c r="B17" s="3" t="s">
        <v>148</v>
      </c>
      <c r="C17" s="135">
        <f>3958348+11866037+1708782+169346</f>
        <v>17702513</v>
      </c>
      <c r="D17" s="94">
        <v>-204645</v>
      </c>
      <c r="E17" s="193"/>
      <c r="F17" s="194">
        <v>231845</v>
      </c>
      <c r="G17" s="194">
        <v>175304</v>
      </c>
      <c r="H17" s="194">
        <f>81764+20393</f>
        <v>102157</v>
      </c>
      <c r="I17" s="71">
        <f t="shared" ref="I17:I37" si="4">SUM(D17:H17)</f>
        <v>304661</v>
      </c>
      <c r="J17" s="367">
        <f t="shared" si="3"/>
        <v>18007174</v>
      </c>
      <c r="K17" s="367">
        <v>17616743</v>
      </c>
      <c r="L17" s="367">
        <f t="shared" si="2"/>
        <v>17811958.5</v>
      </c>
      <c r="M17" s="74"/>
      <c r="N17" s="212"/>
    </row>
    <row r="18" spans="1:14" ht="15" customHeight="1" x14ac:dyDescent="0.2">
      <c r="A18" s="85" t="s">
        <v>19</v>
      </c>
      <c r="B18" s="3" t="s">
        <v>134</v>
      </c>
      <c r="C18" s="135">
        <v>13338700</v>
      </c>
      <c r="D18" s="94">
        <v>232662</v>
      </c>
      <c r="E18" s="193"/>
      <c r="F18" s="133"/>
      <c r="G18" s="133"/>
      <c r="H18" s="94"/>
      <c r="I18" s="71">
        <f t="shared" si="4"/>
        <v>232662</v>
      </c>
      <c r="J18" s="367">
        <f t="shared" si="3"/>
        <v>13571362</v>
      </c>
      <c r="K18" s="367">
        <v>12082758</v>
      </c>
      <c r="L18" s="367">
        <f t="shared" si="2"/>
        <v>12827060</v>
      </c>
      <c r="M18" s="74"/>
      <c r="N18" s="212"/>
    </row>
    <row r="19" spans="1:14" ht="15" customHeight="1" x14ac:dyDescent="0.2">
      <c r="A19" s="85" t="s">
        <v>21</v>
      </c>
      <c r="B19" s="123" t="s">
        <v>203</v>
      </c>
      <c r="C19" s="137">
        <v>5350682</v>
      </c>
      <c r="D19" s="94">
        <v>-975390</v>
      </c>
      <c r="E19" s="193"/>
      <c r="F19" s="133"/>
      <c r="G19" s="94"/>
      <c r="H19" s="94"/>
      <c r="I19" s="71">
        <f t="shared" si="4"/>
        <v>-975390</v>
      </c>
      <c r="J19" s="367">
        <f t="shared" si="3"/>
        <v>4375292</v>
      </c>
      <c r="K19" s="367">
        <v>4180694</v>
      </c>
      <c r="L19" s="367">
        <f t="shared" si="2"/>
        <v>4277993</v>
      </c>
      <c r="M19" s="74"/>
      <c r="N19" s="212"/>
    </row>
    <row r="20" spans="1:14" ht="15" customHeight="1" x14ac:dyDescent="0.2">
      <c r="A20" s="86" t="s">
        <v>114</v>
      </c>
      <c r="B20" s="3" t="s">
        <v>149</v>
      </c>
      <c r="C20" s="135">
        <v>11903412</v>
      </c>
      <c r="D20" s="94">
        <v>94457</v>
      </c>
      <c r="E20" s="193"/>
      <c r="F20" s="133"/>
      <c r="G20" s="94"/>
      <c r="H20" s="94"/>
      <c r="I20" s="71">
        <f t="shared" si="4"/>
        <v>94457</v>
      </c>
      <c r="J20" s="367">
        <f t="shared" si="3"/>
        <v>11997869</v>
      </c>
      <c r="K20" s="367">
        <v>11325974</v>
      </c>
      <c r="L20" s="367">
        <f t="shared" si="2"/>
        <v>11661921.5</v>
      </c>
      <c r="M20" s="74"/>
      <c r="N20" s="212"/>
    </row>
    <row r="21" spans="1:14" ht="15" customHeight="1" x14ac:dyDescent="0.2">
      <c r="A21" s="85" t="s">
        <v>26</v>
      </c>
      <c r="B21" s="3" t="s">
        <v>62</v>
      </c>
      <c r="C21" s="135">
        <f>7192817+9154120+1801568</f>
        <v>18148505</v>
      </c>
      <c r="D21" s="94">
        <v>-1667352</v>
      </c>
      <c r="E21" s="193"/>
      <c r="F21" s="194">
        <v>554324</v>
      </c>
      <c r="G21" s="194">
        <v>-432307</v>
      </c>
      <c r="H21" s="194">
        <v>67114</v>
      </c>
      <c r="I21" s="71">
        <f t="shared" si="4"/>
        <v>-1478221</v>
      </c>
      <c r="J21" s="367">
        <f t="shared" si="3"/>
        <v>16670284</v>
      </c>
      <c r="K21" s="367">
        <v>15936305</v>
      </c>
      <c r="L21" s="367">
        <f t="shared" si="2"/>
        <v>16303294.5</v>
      </c>
      <c r="M21" s="74"/>
      <c r="N21" s="212"/>
    </row>
    <row r="22" spans="1:14" ht="15" customHeight="1" x14ac:dyDescent="0.2">
      <c r="A22" s="85" t="s">
        <v>22</v>
      </c>
      <c r="B22" s="3" t="s">
        <v>23</v>
      </c>
      <c r="C22" s="135">
        <f>14172889+13231139+5887765+241888</f>
        <v>33533681</v>
      </c>
      <c r="D22" s="94">
        <v>2061449</v>
      </c>
      <c r="E22" s="193"/>
      <c r="F22" s="194">
        <v>1003077</v>
      </c>
      <c r="G22" s="194">
        <v>471572</v>
      </c>
      <c r="H22" s="194">
        <f>-110186-53896</f>
        <v>-164082</v>
      </c>
      <c r="I22" s="71">
        <f t="shared" si="4"/>
        <v>3372016</v>
      </c>
      <c r="J22" s="367">
        <f t="shared" si="3"/>
        <v>36905697</v>
      </c>
      <c r="K22" s="367">
        <v>34365619</v>
      </c>
      <c r="L22" s="367">
        <f t="shared" si="2"/>
        <v>35635658</v>
      </c>
      <c r="M22" s="74"/>
      <c r="N22" s="212"/>
    </row>
    <row r="23" spans="1:14" ht="15" customHeight="1" x14ac:dyDescent="0.2">
      <c r="A23" s="85" t="s">
        <v>24</v>
      </c>
      <c r="B23" s="3" t="s">
        <v>145</v>
      </c>
      <c r="C23" s="135">
        <v>6331569</v>
      </c>
      <c r="D23" s="94">
        <v>-97579</v>
      </c>
      <c r="E23" s="195">
        <v>16725.86</v>
      </c>
      <c r="F23" s="133"/>
      <c r="G23" s="94"/>
      <c r="H23" s="94"/>
      <c r="I23" s="71">
        <f t="shared" si="4"/>
        <v>-80853.14</v>
      </c>
      <c r="J23" s="367">
        <f t="shared" si="3"/>
        <v>6250715.8600000003</v>
      </c>
      <c r="K23" s="367">
        <v>5680536</v>
      </c>
      <c r="L23" s="367">
        <f t="shared" si="2"/>
        <v>5965625.9299999997</v>
      </c>
      <c r="M23" s="74"/>
      <c r="N23" s="212"/>
    </row>
    <row r="24" spans="1:14" ht="15" customHeight="1" x14ac:dyDescent="0.2">
      <c r="A24" s="85" t="s">
        <v>27</v>
      </c>
      <c r="B24" s="3" t="s">
        <v>137</v>
      </c>
      <c r="C24" s="135">
        <v>14305885</v>
      </c>
      <c r="D24" s="94">
        <v>495217</v>
      </c>
      <c r="E24" s="193"/>
      <c r="F24" s="133"/>
      <c r="G24" s="133"/>
      <c r="H24" s="94"/>
      <c r="I24" s="71">
        <f t="shared" si="4"/>
        <v>495217</v>
      </c>
      <c r="J24" s="367">
        <f t="shared" si="3"/>
        <v>14801102</v>
      </c>
      <c r="K24" s="367">
        <v>12768248</v>
      </c>
      <c r="L24" s="367">
        <f t="shared" si="2"/>
        <v>13784675</v>
      </c>
      <c r="M24" s="74"/>
      <c r="N24" s="212"/>
    </row>
    <row r="25" spans="1:14" ht="15" customHeight="1" x14ac:dyDescent="0.2">
      <c r="A25" s="85" t="s">
        <v>29</v>
      </c>
      <c r="B25" s="3" t="s">
        <v>138</v>
      </c>
      <c r="C25" s="135">
        <v>10642377</v>
      </c>
      <c r="D25" s="94">
        <v>-26850</v>
      </c>
      <c r="E25" s="193"/>
      <c r="F25" s="133"/>
      <c r="G25" s="94"/>
      <c r="H25" s="94"/>
      <c r="I25" s="71">
        <f t="shared" si="4"/>
        <v>-26850</v>
      </c>
      <c r="J25" s="367">
        <f t="shared" si="3"/>
        <v>10615527</v>
      </c>
      <c r="K25" s="367">
        <v>9984693</v>
      </c>
      <c r="L25" s="367">
        <f t="shared" si="2"/>
        <v>10300110</v>
      </c>
      <c r="M25" s="74"/>
      <c r="N25" s="212"/>
    </row>
    <row r="26" spans="1:14" ht="15" customHeight="1" x14ac:dyDescent="0.2">
      <c r="A26" s="86" t="s">
        <v>123</v>
      </c>
      <c r="B26" s="3" t="s">
        <v>63</v>
      </c>
      <c r="C26" s="135">
        <v>10821603</v>
      </c>
      <c r="D26" s="94">
        <v>-791237</v>
      </c>
      <c r="E26" s="193"/>
      <c r="F26" s="133"/>
      <c r="G26" s="94"/>
      <c r="H26" s="94"/>
      <c r="I26" s="71">
        <f t="shared" si="4"/>
        <v>-791237</v>
      </c>
      <c r="J26" s="367">
        <f t="shared" si="3"/>
        <v>10030366</v>
      </c>
      <c r="K26" s="367">
        <v>9406086</v>
      </c>
      <c r="L26" s="367">
        <f t="shared" si="2"/>
        <v>9718226</v>
      </c>
      <c r="M26" s="74"/>
      <c r="N26" s="212"/>
    </row>
    <row r="27" spans="1:14" ht="15" customHeight="1" x14ac:dyDescent="0.2">
      <c r="A27" s="85" t="s">
        <v>31</v>
      </c>
      <c r="B27" s="3" t="s">
        <v>139</v>
      </c>
      <c r="C27" s="135">
        <v>7594910</v>
      </c>
      <c r="D27" s="94">
        <v>-876370</v>
      </c>
      <c r="E27" s="195">
        <v>53418.45</v>
      </c>
      <c r="F27" s="133"/>
      <c r="G27" s="94"/>
      <c r="H27" s="94"/>
      <c r="I27" s="71">
        <f t="shared" si="4"/>
        <v>-822951.55</v>
      </c>
      <c r="J27" s="367">
        <f t="shared" si="3"/>
        <v>6771958.4500000002</v>
      </c>
      <c r="K27" s="367">
        <v>6409129</v>
      </c>
      <c r="L27" s="367">
        <f t="shared" si="2"/>
        <v>6590543.7249999996</v>
      </c>
      <c r="M27" s="74"/>
      <c r="N27" s="212"/>
    </row>
    <row r="28" spans="1:14" ht="15" customHeight="1" x14ac:dyDescent="0.2">
      <c r="A28" s="85" t="s">
        <v>33</v>
      </c>
      <c r="B28" s="3" t="s">
        <v>135</v>
      </c>
      <c r="C28" s="135">
        <v>2414576</v>
      </c>
      <c r="D28" s="94">
        <v>-147971</v>
      </c>
      <c r="E28" s="193"/>
      <c r="F28" s="133"/>
      <c r="G28" s="94"/>
      <c r="H28" s="94"/>
      <c r="I28" s="71">
        <f t="shared" si="4"/>
        <v>-147971</v>
      </c>
      <c r="J28" s="367">
        <f t="shared" si="3"/>
        <v>2266605</v>
      </c>
      <c r="K28" s="367">
        <v>1843123</v>
      </c>
      <c r="L28" s="367">
        <f t="shared" si="2"/>
        <v>2054864</v>
      </c>
      <c r="M28" s="74"/>
      <c r="N28" s="212"/>
    </row>
    <row r="29" spans="1:14" ht="15" customHeight="1" x14ac:dyDescent="0.2">
      <c r="A29" s="85" t="s">
        <v>35</v>
      </c>
      <c r="B29" s="3" t="s">
        <v>36</v>
      </c>
      <c r="C29" s="135">
        <v>9328354</v>
      </c>
      <c r="D29" s="94">
        <v>-489676</v>
      </c>
      <c r="E29" s="195"/>
      <c r="F29" s="133"/>
      <c r="G29" s="94"/>
      <c r="H29" s="94"/>
      <c r="I29" s="71">
        <f t="shared" si="4"/>
        <v>-489676</v>
      </c>
      <c r="J29" s="367">
        <f t="shared" si="3"/>
        <v>8838678</v>
      </c>
      <c r="K29" s="367">
        <v>7918160</v>
      </c>
      <c r="L29" s="367">
        <f t="shared" si="2"/>
        <v>8378419</v>
      </c>
      <c r="M29" s="74"/>
      <c r="N29" s="212"/>
    </row>
    <row r="30" spans="1:14" ht="15" customHeight="1" x14ac:dyDescent="0.2">
      <c r="A30" s="85" t="s">
        <v>37</v>
      </c>
      <c r="B30" s="3" t="s">
        <v>136</v>
      </c>
      <c r="C30" s="135">
        <v>6570819</v>
      </c>
      <c r="D30" s="94">
        <v>-543777</v>
      </c>
      <c r="E30" s="196">
        <v>60237.35</v>
      </c>
      <c r="F30" s="133"/>
      <c r="G30" s="94"/>
      <c r="H30" s="94"/>
      <c r="I30" s="71">
        <f t="shared" si="4"/>
        <v>-483539.65</v>
      </c>
      <c r="J30" s="367">
        <f t="shared" si="3"/>
        <v>6087279.3499999996</v>
      </c>
      <c r="K30" s="367">
        <v>5543401</v>
      </c>
      <c r="L30" s="367">
        <f t="shared" si="2"/>
        <v>5815340.1749999998</v>
      </c>
      <c r="M30" s="74"/>
      <c r="N30" s="212"/>
    </row>
    <row r="31" spans="1:14" ht="15" customHeight="1" x14ac:dyDescent="0.2">
      <c r="A31" s="85" t="s">
        <v>39</v>
      </c>
      <c r="B31" s="3" t="s">
        <v>140</v>
      </c>
      <c r="C31" s="135">
        <v>10898939</v>
      </c>
      <c r="D31" s="94">
        <v>-290004</v>
      </c>
      <c r="E31" s="168"/>
      <c r="F31" s="133"/>
      <c r="G31" s="94"/>
      <c r="H31" s="94"/>
      <c r="I31" s="71">
        <f t="shared" si="4"/>
        <v>-290004</v>
      </c>
      <c r="J31" s="367">
        <f t="shared" si="3"/>
        <v>10608935</v>
      </c>
      <c r="K31" s="367">
        <v>9417553</v>
      </c>
      <c r="L31" s="367">
        <f t="shared" si="2"/>
        <v>10013244</v>
      </c>
      <c r="M31" s="74"/>
      <c r="N31" s="212"/>
    </row>
    <row r="32" spans="1:14" ht="15" customHeight="1" x14ac:dyDescent="0.2">
      <c r="A32" s="85" t="s">
        <v>46</v>
      </c>
      <c r="B32" s="3" t="s">
        <v>70</v>
      </c>
      <c r="C32" s="135">
        <v>9911799</v>
      </c>
      <c r="D32" s="94">
        <v>1396105</v>
      </c>
      <c r="E32" s="196"/>
      <c r="F32" s="133"/>
      <c r="G32" s="133"/>
      <c r="H32" s="94"/>
      <c r="I32" s="71">
        <f>SUM(D32:H32)</f>
        <v>1396105</v>
      </c>
      <c r="J32" s="367">
        <f t="shared" si="3"/>
        <v>11307904</v>
      </c>
      <c r="K32" s="367">
        <v>9618215</v>
      </c>
      <c r="L32" s="367">
        <f t="shared" si="2"/>
        <v>10463059.5</v>
      </c>
      <c r="M32" s="74"/>
      <c r="N32" s="212"/>
    </row>
    <row r="33" spans="1:14" ht="15" customHeight="1" x14ac:dyDescent="0.2">
      <c r="A33" s="85" t="s">
        <v>41</v>
      </c>
      <c r="B33" s="3" t="s">
        <v>122</v>
      </c>
      <c r="C33" s="135">
        <v>8284904</v>
      </c>
      <c r="D33" s="94">
        <v>-1117791</v>
      </c>
      <c r="E33" s="195">
        <v>23259.72</v>
      </c>
      <c r="F33" s="133"/>
      <c r="G33" s="94"/>
      <c r="H33" s="94"/>
      <c r="I33" s="71">
        <f t="shared" si="4"/>
        <v>-1094531.28</v>
      </c>
      <c r="J33" s="367">
        <f t="shared" si="3"/>
        <v>7190372.7199999997</v>
      </c>
      <c r="K33" s="367">
        <v>6731371</v>
      </c>
      <c r="L33" s="367">
        <f t="shared" si="2"/>
        <v>6960871.8599999994</v>
      </c>
      <c r="M33" s="74"/>
      <c r="N33" s="212"/>
    </row>
    <row r="34" spans="1:14" ht="15" customHeight="1" x14ac:dyDescent="0.2">
      <c r="A34" s="85" t="s">
        <v>42</v>
      </c>
      <c r="B34" s="3" t="s">
        <v>69</v>
      </c>
      <c r="C34" s="135">
        <f>4285821+3372096+1013369</f>
        <v>8671286</v>
      </c>
      <c r="D34" s="94">
        <v>752654</v>
      </c>
      <c r="E34" s="196"/>
      <c r="F34" s="194">
        <v>310809</v>
      </c>
      <c r="G34" s="194">
        <v>-258792</v>
      </c>
      <c r="H34" s="194">
        <v>92394</v>
      </c>
      <c r="I34" s="71">
        <f t="shared" si="4"/>
        <v>897065</v>
      </c>
      <c r="J34" s="367">
        <f>+C34+I34</f>
        <v>9568351</v>
      </c>
      <c r="K34" s="367">
        <v>8588505</v>
      </c>
      <c r="L34" s="367">
        <f t="shared" si="2"/>
        <v>9078428</v>
      </c>
      <c r="M34" s="74"/>
      <c r="N34" s="212"/>
    </row>
    <row r="35" spans="1:14" ht="15" customHeight="1" x14ac:dyDescent="0.2">
      <c r="A35" s="85" t="s">
        <v>43</v>
      </c>
      <c r="B35" s="3" t="s">
        <v>44</v>
      </c>
      <c r="C35" s="135">
        <f>17056724+13716591+5427893+241777</f>
        <v>36442985</v>
      </c>
      <c r="D35" s="94">
        <v>-2123514</v>
      </c>
      <c r="E35" s="193"/>
      <c r="F35" s="194">
        <v>1387757</v>
      </c>
      <c r="G35" s="194">
        <v>-212885</v>
      </c>
      <c r="H35" s="194">
        <f>-159200+22704</f>
        <v>-136496</v>
      </c>
      <c r="I35" s="71">
        <f t="shared" si="4"/>
        <v>-1085138</v>
      </c>
      <c r="J35" s="367">
        <f t="shared" si="3"/>
        <v>35357847</v>
      </c>
      <c r="K35" s="367">
        <v>33563975</v>
      </c>
      <c r="L35" s="367">
        <f t="shared" si="2"/>
        <v>34460911</v>
      </c>
      <c r="M35" s="74"/>
      <c r="N35" s="212"/>
    </row>
    <row r="36" spans="1:14" ht="15" customHeight="1" x14ac:dyDescent="0.2">
      <c r="A36" s="85" t="s">
        <v>45</v>
      </c>
      <c r="B36" s="3" t="s">
        <v>141</v>
      </c>
      <c r="C36" s="135">
        <v>8444645</v>
      </c>
      <c r="D36" s="94">
        <v>436183</v>
      </c>
      <c r="E36" s="193"/>
      <c r="F36" s="133"/>
      <c r="G36" s="94"/>
      <c r="H36" s="94"/>
      <c r="I36" s="71">
        <f t="shared" si="4"/>
        <v>436183</v>
      </c>
      <c r="J36" s="367">
        <f t="shared" si="3"/>
        <v>8880828</v>
      </c>
      <c r="K36" s="367">
        <v>7569434</v>
      </c>
      <c r="L36" s="367">
        <f t="shared" si="2"/>
        <v>8225131</v>
      </c>
      <c r="M36" s="74"/>
      <c r="N36" s="212"/>
    </row>
    <row r="37" spans="1:14" ht="15" customHeight="1" x14ac:dyDescent="0.2">
      <c r="A37" s="85" t="s">
        <v>47</v>
      </c>
      <c r="B37" s="3" t="s">
        <v>48</v>
      </c>
      <c r="C37" s="135">
        <f>8842729+11603961+1542415+126851</f>
        <v>22115956</v>
      </c>
      <c r="D37" s="94">
        <v>138701</v>
      </c>
      <c r="E37" s="193"/>
      <c r="F37" s="194">
        <v>685675</v>
      </c>
      <c r="G37" s="194">
        <v>-243474</v>
      </c>
      <c r="H37" s="194">
        <f>-140811-7001</f>
        <v>-147812</v>
      </c>
      <c r="I37" s="71">
        <f t="shared" si="4"/>
        <v>433090</v>
      </c>
      <c r="J37" s="367">
        <f t="shared" si="3"/>
        <v>22549046</v>
      </c>
      <c r="K37" s="367">
        <v>20746919</v>
      </c>
      <c r="L37" s="367">
        <f t="shared" si="2"/>
        <v>21647982.5</v>
      </c>
      <c r="M37" s="74"/>
      <c r="N37" s="212"/>
    </row>
    <row r="39" spans="1:14" ht="15" customHeight="1" x14ac:dyDescent="0.2">
      <c r="B39" s="66" t="s">
        <v>49</v>
      </c>
      <c r="C39" s="57">
        <f t="shared" ref="C39:L39" si="5">SUM(C8:C38)</f>
        <v>370812867</v>
      </c>
      <c r="D39" s="57">
        <f t="shared" si="5"/>
        <v>-3553698</v>
      </c>
      <c r="E39" s="57">
        <f t="shared" si="5"/>
        <v>170662.38</v>
      </c>
      <c r="F39" s="57">
        <f t="shared" si="5"/>
        <v>4475582</v>
      </c>
      <c r="G39" s="57">
        <f t="shared" si="5"/>
        <v>-271645</v>
      </c>
      <c r="H39" s="57">
        <f t="shared" si="5"/>
        <v>-180574</v>
      </c>
      <c r="I39" s="74">
        <f t="shared" si="5"/>
        <v>640327.37999999966</v>
      </c>
      <c r="J39" s="54">
        <f t="shared" si="5"/>
        <v>371453194.38</v>
      </c>
      <c r="K39" s="54">
        <f t="shared" si="5"/>
        <v>338736543</v>
      </c>
      <c r="L39" s="54">
        <f t="shared" si="5"/>
        <v>355094868.69000006</v>
      </c>
    </row>
    <row r="40" spans="1:14" ht="12" customHeight="1" x14ac:dyDescent="0.2">
      <c r="C40" s="57"/>
      <c r="J40" s="54"/>
      <c r="K40" s="54"/>
      <c r="L40" s="54"/>
    </row>
    <row r="41" spans="1:14" ht="12" customHeight="1" x14ac:dyDescent="0.2">
      <c r="A41" s="87" t="str">
        <f>'FY2015 Detail'!B39</f>
        <v>MnSCU Finance Division</v>
      </c>
    </row>
    <row r="42" spans="1:14" ht="12" customHeight="1" x14ac:dyDescent="0.2">
      <c r="A42" s="87" t="str">
        <f>'FY2015 Detail'!B40</f>
        <v>s:\finance\bargain\FY18 allocation\Summary of FY2018 Institutional Allocation Draft</v>
      </c>
      <c r="D42" s="197"/>
      <c r="E42" s="197"/>
      <c r="F42" s="197"/>
      <c r="G42" s="197"/>
    </row>
    <row r="43" spans="1:14" ht="12" customHeight="1" x14ac:dyDescent="0.2">
      <c r="A43" s="87"/>
      <c r="D43" s="197"/>
      <c r="E43" s="197"/>
      <c r="F43" s="197"/>
      <c r="G43" s="197"/>
    </row>
    <row r="44" spans="1:14" ht="15" customHeight="1" x14ac:dyDescent="0.2">
      <c r="C44" s="54"/>
      <c r="D44" s="54"/>
      <c r="G44" s="198"/>
      <c r="J44" s="54"/>
      <c r="K44" s="54"/>
      <c r="L44" s="367"/>
    </row>
    <row r="47" spans="1:14" ht="15" customHeight="1" x14ac:dyDescent="0.2">
      <c r="D47" s="199"/>
      <c r="E47" s="199"/>
      <c r="F47" s="199"/>
    </row>
    <row r="49" spans="7:7" ht="15" customHeight="1" x14ac:dyDescent="0.2">
      <c r="G49" s="199"/>
    </row>
  </sheetData>
  <phoneticPr fontId="11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  <pageSetUpPr fitToPage="1"/>
  </sheetPr>
  <dimension ref="A1:H44"/>
  <sheetViews>
    <sheetView topLeftCell="A13" zoomScale="80" workbookViewId="0">
      <selection activeCell="A42" sqref="A42"/>
    </sheetView>
  </sheetViews>
  <sheetFormatPr defaultRowHeight="15" customHeight="1" x14ac:dyDescent="0.2"/>
  <cols>
    <col min="1" max="1" width="6.28515625" style="56" customWidth="1"/>
    <col min="2" max="2" width="32.28515625" style="56" customWidth="1"/>
    <col min="3" max="3" width="22.85546875" style="56" customWidth="1"/>
    <col min="4" max="4" width="17.42578125" style="56" customWidth="1"/>
    <col min="5" max="5" width="23.85546875" style="56" customWidth="1"/>
    <col min="6" max="6" width="10.28515625" style="54" customWidth="1"/>
    <col min="7" max="7" width="24.7109375" style="106" customWidth="1"/>
    <col min="8" max="16384" width="9.140625" style="56"/>
  </cols>
  <sheetData>
    <row r="1" spans="1:8" ht="15" customHeight="1" x14ac:dyDescent="0.25">
      <c r="A1" s="108" t="s">
        <v>72</v>
      </c>
    </row>
    <row r="2" spans="1:8" ht="15" customHeight="1" x14ac:dyDescent="0.2">
      <c r="A2" s="89" t="s">
        <v>92</v>
      </c>
    </row>
    <row r="3" spans="1:8" ht="15" customHeight="1" x14ac:dyDescent="0.2">
      <c r="A3" s="89" t="s">
        <v>295</v>
      </c>
    </row>
    <row r="4" spans="1:8" ht="15" customHeight="1" x14ac:dyDescent="0.2">
      <c r="A4" s="89" t="s">
        <v>202</v>
      </c>
      <c r="E4" s="105" t="s">
        <v>121</v>
      </c>
      <c r="G4" s="142" t="s">
        <v>93</v>
      </c>
    </row>
    <row r="5" spans="1:8" s="105" customFormat="1" ht="15" customHeight="1" x14ac:dyDescent="0.2">
      <c r="C5" s="105" t="s">
        <v>81</v>
      </c>
      <c r="D5" s="105" t="s">
        <v>74</v>
      </c>
      <c r="E5" s="105" t="s">
        <v>75</v>
      </c>
      <c r="F5" s="143" t="s">
        <v>76</v>
      </c>
      <c r="G5" s="142" t="s">
        <v>77</v>
      </c>
    </row>
    <row r="6" spans="1:8" ht="42" customHeight="1" x14ac:dyDescent="0.2">
      <c r="A6" s="144" t="s">
        <v>0</v>
      </c>
      <c r="B6" s="144" t="s">
        <v>1</v>
      </c>
      <c r="C6" s="145" t="s">
        <v>200</v>
      </c>
      <c r="D6" s="146" t="s">
        <v>124</v>
      </c>
      <c r="E6" s="145" t="s">
        <v>201</v>
      </c>
      <c r="F6" s="144" t="s">
        <v>194</v>
      </c>
      <c r="G6" s="147" t="s">
        <v>94</v>
      </c>
    </row>
    <row r="7" spans="1:8" ht="15" customHeight="1" x14ac:dyDescent="0.2">
      <c r="A7" s="148"/>
      <c r="B7" s="148"/>
      <c r="C7" s="149"/>
      <c r="D7" s="150"/>
      <c r="E7" s="150"/>
      <c r="F7" s="151"/>
    </row>
    <row r="8" spans="1:8" ht="15" customHeight="1" x14ac:dyDescent="0.2">
      <c r="A8" s="10" t="s">
        <v>2</v>
      </c>
      <c r="B8" s="3" t="s">
        <v>133</v>
      </c>
      <c r="C8" s="152">
        <v>2403182.7599999998</v>
      </c>
      <c r="D8" s="153">
        <f>'Revenue Offset'!G8</f>
        <v>0.48639221315791692</v>
      </c>
      <c r="E8" s="154">
        <f t="shared" ref="E8:E13" si="0">C8*(1-D8)</f>
        <v>1234293.3787406487</v>
      </c>
      <c r="F8" s="55">
        <f>'FY2015 Detail'!D6</f>
        <v>1993</v>
      </c>
      <c r="G8" s="94">
        <f>E8/F8</f>
        <v>619.31428938316549</v>
      </c>
    </row>
    <row r="9" spans="1:8" ht="15" customHeight="1" x14ac:dyDescent="0.2">
      <c r="A9" s="10" t="s">
        <v>4</v>
      </c>
      <c r="B9" s="3" t="s">
        <v>129</v>
      </c>
      <c r="C9" s="152">
        <v>8490636.6799999997</v>
      </c>
      <c r="D9" s="153">
        <f>'Revenue Offset'!G9</f>
        <v>0.54453309777645564</v>
      </c>
      <c r="E9" s="154">
        <f>C9*(1-D9)</f>
        <v>3867203.9865451991</v>
      </c>
      <c r="F9" s="55">
        <f>'FY2015 Detail'!D7</f>
        <v>7071</v>
      </c>
      <c r="G9" s="94">
        <f t="shared" ref="G9:G37" si="1">E9/F9</f>
        <v>546.91047752018085</v>
      </c>
    </row>
    <row r="10" spans="1:8" ht="15" customHeight="1" x14ac:dyDescent="0.2">
      <c r="A10" s="10" t="s">
        <v>5</v>
      </c>
      <c r="B10" s="3" t="s">
        <v>118</v>
      </c>
      <c r="C10" s="175">
        <v>8294987.3600000003</v>
      </c>
      <c r="D10" s="153">
        <f>'Revenue Offset'!G10</f>
        <v>0.62453757853391123</v>
      </c>
      <c r="E10" s="154">
        <f t="shared" si="0"/>
        <v>3114456.0402161991</v>
      </c>
      <c r="F10" s="55">
        <f>'FY2015 Detail'!D8</f>
        <v>4943</v>
      </c>
      <c r="G10" s="94">
        <f t="shared" si="1"/>
        <v>630.07405223876174</v>
      </c>
      <c r="H10" s="57"/>
    </row>
    <row r="11" spans="1:8" ht="15" customHeight="1" x14ac:dyDescent="0.2">
      <c r="A11" s="10" t="s">
        <v>6</v>
      </c>
      <c r="B11" s="3" t="s">
        <v>7</v>
      </c>
      <c r="C11" s="175">
        <v>4402431.7</v>
      </c>
      <c r="D11" s="153">
        <f>'Revenue Offset'!G11</f>
        <v>0.45051477858043915</v>
      </c>
      <c r="E11" s="154">
        <f t="shared" si="0"/>
        <v>2419071.1574589941</v>
      </c>
      <c r="F11" s="55">
        <f>'FY2015 Detail'!D9</f>
        <v>2710</v>
      </c>
      <c r="G11" s="94">
        <f t="shared" si="1"/>
        <v>892.64618356420442</v>
      </c>
      <c r="H11" s="57"/>
    </row>
    <row r="12" spans="1:8" ht="15" customHeight="1" x14ac:dyDescent="0.2">
      <c r="A12" s="10" t="s">
        <v>8</v>
      </c>
      <c r="B12" s="3" t="s">
        <v>9</v>
      </c>
      <c r="C12" s="152">
        <v>5774046.5499999998</v>
      </c>
      <c r="D12" s="153">
        <f>'Revenue Offset'!G12</f>
        <v>0.55140263148750424</v>
      </c>
      <c r="E12" s="154">
        <f t="shared" si="0"/>
        <v>2590222.0879986547</v>
      </c>
      <c r="F12" s="55">
        <f>'FY2015 Detail'!D10</f>
        <v>6204</v>
      </c>
      <c r="G12" s="94">
        <f t="shared" si="1"/>
        <v>417.50839587341306</v>
      </c>
      <c r="H12" s="57"/>
    </row>
    <row r="13" spans="1:8" ht="15" customHeight="1" x14ac:dyDescent="0.2">
      <c r="A13" s="10" t="s">
        <v>10</v>
      </c>
      <c r="B13" s="3" t="s">
        <v>161</v>
      </c>
      <c r="C13" s="152">
        <v>6996765.7699999996</v>
      </c>
      <c r="D13" s="153">
        <f>'Revenue Offset'!G13</f>
        <v>0.52418938559296724</v>
      </c>
      <c r="E13" s="154">
        <f t="shared" si="0"/>
        <v>3329135.4198857956</v>
      </c>
      <c r="F13" s="55">
        <f>'FY2015 Detail'!D11</f>
        <v>5554</v>
      </c>
      <c r="G13" s="94">
        <f t="shared" si="1"/>
        <v>599.41221099852282</v>
      </c>
      <c r="H13" s="57"/>
    </row>
    <row r="14" spans="1:8" ht="15" customHeight="1" x14ac:dyDescent="0.2">
      <c r="A14" s="10" t="s">
        <v>12</v>
      </c>
      <c r="B14" s="3" t="s">
        <v>13</v>
      </c>
      <c r="C14" s="152">
        <v>1495310.55</v>
      </c>
      <c r="D14" s="153">
        <f>'Revenue Offset'!G14</f>
        <v>0.44980615125135653</v>
      </c>
      <c r="E14" s="154">
        <f t="shared" ref="E14:E37" si="2">C14*(1-D14)</f>
        <v>822710.66657895094</v>
      </c>
      <c r="F14" s="55">
        <f>'FY2015 Detail'!D12</f>
        <v>1188</v>
      </c>
      <c r="G14" s="94">
        <f t="shared" si="1"/>
        <v>692.51739611022811</v>
      </c>
      <c r="H14" s="57"/>
    </row>
    <row r="15" spans="1:8" ht="15" customHeight="1" x14ac:dyDescent="0.2">
      <c r="A15" s="10" t="s">
        <v>14</v>
      </c>
      <c r="B15" s="3" t="s">
        <v>147</v>
      </c>
      <c r="C15" s="152">
        <v>4552535.09</v>
      </c>
      <c r="D15" s="153">
        <f>'Revenue Offset'!G15</f>
        <v>0.46982173592688686</v>
      </c>
      <c r="E15" s="154">
        <f t="shared" si="2"/>
        <v>2413655.1511481339</v>
      </c>
      <c r="F15" s="55">
        <f>'FY2015 Detail'!D13</f>
        <v>3739</v>
      </c>
      <c r="G15" s="94">
        <f t="shared" si="1"/>
        <v>645.53494280506391</v>
      </c>
      <c r="H15" s="57"/>
    </row>
    <row r="16" spans="1:8" ht="15" customHeight="1" x14ac:dyDescent="0.2">
      <c r="A16" s="10" t="s">
        <v>16</v>
      </c>
      <c r="B16" s="3" t="s">
        <v>17</v>
      </c>
      <c r="C16" s="152">
        <v>2758871.01</v>
      </c>
      <c r="D16" s="153">
        <f>'Revenue Offset'!G16</f>
        <v>0.51416422428157793</v>
      </c>
      <c r="E16" s="154">
        <f t="shared" si="2"/>
        <v>1340358.2372504165</v>
      </c>
      <c r="F16" s="55">
        <f>'FY2015 Detail'!D14</f>
        <v>3292</v>
      </c>
      <c r="G16" s="94">
        <f t="shared" si="1"/>
        <v>407.15620815626261</v>
      </c>
      <c r="H16" s="57"/>
    </row>
    <row r="17" spans="1:8" ht="15" customHeight="1" x14ac:dyDescent="0.2">
      <c r="A17" s="10" t="s">
        <v>18</v>
      </c>
      <c r="B17" s="3" t="s">
        <v>148</v>
      </c>
      <c r="C17" s="152">
        <v>20470323.809999999</v>
      </c>
      <c r="D17" s="153">
        <f>'Revenue Offset'!G17</f>
        <v>0.62836591974304412</v>
      </c>
      <c r="E17" s="154">
        <f t="shared" si="2"/>
        <v>7607469.961691414</v>
      </c>
      <c r="F17" s="55">
        <f>'FY2015 Detail'!D15</f>
        <v>6102</v>
      </c>
      <c r="G17" s="94">
        <f t="shared" si="1"/>
        <v>1246.7174634040337</v>
      </c>
      <c r="H17" s="57"/>
    </row>
    <row r="18" spans="1:8" ht="15" customHeight="1" x14ac:dyDescent="0.2">
      <c r="A18" s="10" t="s">
        <v>19</v>
      </c>
      <c r="B18" s="3" t="s">
        <v>134</v>
      </c>
      <c r="C18" s="175">
        <v>5494197.3300000001</v>
      </c>
      <c r="D18" s="153">
        <f>'Revenue Offset'!G18</f>
        <v>0.53241164777845162</v>
      </c>
      <c r="E18" s="154">
        <f t="shared" si="2"/>
        <v>2569022.6763147307</v>
      </c>
      <c r="F18" s="55">
        <f>'FY2015 Detail'!D16</f>
        <v>5658</v>
      </c>
      <c r="G18" s="94">
        <f t="shared" si="1"/>
        <v>454.05137439284744</v>
      </c>
      <c r="H18" s="57"/>
    </row>
    <row r="19" spans="1:8" ht="15" customHeight="1" x14ac:dyDescent="0.2">
      <c r="A19" s="10" t="s">
        <v>21</v>
      </c>
      <c r="B19" s="123" t="s">
        <v>203</v>
      </c>
      <c r="C19" s="152">
        <v>1931216.75</v>
      </c>
      <c r="D19" s="153">
        <f>'Revenue Offset'!G19</f>
        <v>0.4520282118181288</v>
      </c>
      <c r="E19" s="154">
        <f t="shared" si="2"/>
        <v>1058252.2958642817</v>
      </c>
      <c r="F19" s="55">
        <f>'FY2015 Detail'!D17</f>
        <v>1316</v>
      </c>
      <c r="G19" s="94">
        <f t="shared" si="1"/>
        <v>804.14308196373986</v>
      </c>
      <c r="H19" s="57"/>
    </row>
    <row r="20" spans="1:8" ht="15" customHeight="1" x14ac:dyDescent="0.2">
      <c r="A20" s="38" t="s">
        <v>114</v>
      </c>
      <c r="B20" s="3" t="s">
        <v>149</v>
      </c>
      <c r="C20" s="152">
        <v>3783880.84</v>
      </c>
      <c r="D20" s="153">
        <f>'Revenue Offset'!G20</f>
        <v>0.50552887215666698</v>
      </c>
      <c r="E20" s="154">
        <f t="shared" si="2"/>
        <v>1871019.8265795782</v>
      </c>
      <c r="F20" s="55">
        <f>'FY2015 Detail'!D18</f>
        <v>4319</v>
      </c>
      <c r="G20" s="94">
        <f t="shared" si="1"/>
        <v>433.20672067135405</v>
      </c>
      <c r="H20" s="57"/>
    </row>
    <row r="21" spans="1:8" ht="15" customHeight="1" x14ac:dyDescent="0.2">
      <c r="A21" s="10" t="s">
        <v>26</v>
      </c>
      <c r="B21" s="3" t="s">
        <v>62</v>
      </c>
      <c r="C21" s="152">
        <v>12747342.02</v>
      </c>
      <c r="D21" s="153">
        <f>'Revenue Offset'!G21</f>
        <v>0.57582615107919288</v>
      </c>
      <c r="E21" s="154">
        <f t="shared" si="2"/>
        <v>5407089.1281333361</v>
      </c>
      <c r="F21" s="55">
        <f>'FY2015 Detail'!D19</f>
        <v>5316</v>
      </c>
      <c r="G21" s="94">
        <f t="shared" si="1"/>
        <v>1017.1348999498375</v>
      </c>
      <c r="H21" s="57"/>
    </row>
    <row r="22" spans="1:8" ht="15" customHeight="1" x14ac:dyDescent="0.2">
      <c r="A22" s="10" t="s">
        <v>22</v>
      </c>
      <c r="B22" s="3" t="s">
        <v>23</v>
      </c>
      <c r="C22" s="152">
        <v>26408353.870000001</v>
      </c>
      <c r="D22" s="153">
        <f>'Revenue Offset'!G22</f>
        <v>0.65067460123907328</v>
      </c>
      <c r="E22" s="154">
        <f t="shared" si="2"/>
        <v>9225108.7462574132</v>
      </c>
      <c r="F22" s="55">
        <f>'FY2015 Detail'!D20</f>
        <v>13752</v>
      </c>
      <c r="G22" s="94">
        <f t="shared" si="1"/>
        <v>670.81942599312197</v>
      </c>
      <c r="H22" s="57"/>
    </row>
    <row r="23" spans="1:8" ht="15" customHeight="1" x14ac:dyDescent="0.2">
      <c r="A23" s="10" t="s">
        <v>24</v>
      </c>
      <c r="B23" s="3" t="s">
        <v>145</v>
      </c>
      <c r="C23" s="152">
        <v>2103024.98</v>
      </c>
      <c r="D23" s="153">
        <f>'Revenue Offset'!G23</f>
        <v>0.46447839587742934</v>
      </c>
      <c r="E23" s="154">
        <f t="shared" si="2"/>
        <v>1126215.3107994371</v>
      </c>
      <c r="F23" s="55">
        <f>'FY2015 Detail'!D21</f>
        <v>1858</v>
      </c>
      <c r="G23" s="94">
        <f t="shared" si="1"/>
        <v>606.14387018268951</v>
      </c>
      <c r="H23" s="57"/>
    </row>
    <row r="24" spans="1:8" ht="15" customHeight="1" x14ac:dyDescent="0.2">
      <c r="A24" s="10" t="s">
        <v>27</v>
      </c>
      <c r="B24" s="3" t="s">
        <v>137</v>
      </c>
      <c r="C24" s="152">
        <v>9790565.1400000006</v>
      </c>
      <c r="D24" s="153">
        <f>'Revenue Offset'!G24</f>
        <v>0.60509441794710717</v>
      </c>
      <c r="E24" s="154">
        <f t="shared" si="2"/>
        <v>3866348.8252384625</v>
      </c>
      <c r="F24" s="55">
        <f>'FY2015 Detail'!D22</f>
        <v>6837</v>
      </c>
      <c r="G24" s="94">
        <f t="shared" si="1"/>
        <v>565.50370414486804</v>
      </c>
      <c r="H24" s="57"/>
    </row>
    <row r="25" spans="1:8" ht="15" customHeight="1" x14ac:dyDescent="0.2">
      <c r="A25" s="10" t="s">
        <v>29</v>
      </c>
      <c r="B25" s="3" t="s">
        <v>138</v>
      </c>
      <c r="C25" s="152">
        <v>6727483.75</v>
      </c>
      <c r="D25" s="153">
        <f>'Revenue Offset'!G25</f>
        <v>0.57956459714040864</v>
      </c>
      <c r="E25" s="154">
        <f t="shared" si="2"/>
        <v>2828472.3406626042</v>
      </c>
      <c r="F25" s="55">
        <f>'FY2015 Detail'!D23</f>
        <v>4446</v>
      </c>
      <c r="G25" s="94">
        <f t="shared" si="1"/>
        <v>636.18361238475131</v>
      </c>
      <c r="H25" s="57"/>
    </row>
    <row r="26" spans="1:8" ht="15" customHeight="1" x14ac:dyDescent="0.2">
      <c r="A26" s="38" t="s">
        <v>123</v>
      </c>
      <c r="B26" s="3" t="s">
        <v>63</v>
      </c>
      <c r="C26" s="175">
        <v>3591278.73</v>
      </c>
      <c r="D26" s="153">
        <f>'Revenue Offset'!G26</f>
        <v>0.465784930494264</v>
      </c>
      <c r="E26" s="154">
        <f t="shared" si="2"/>
        <v>1918515.2163614212</v>
      </c>
      <c r="F26" s="55">
        <f>'FY2015 Detail'!D24</f>
        <v>3589</v>
      </c>
      <c r="G26" s="94">
        <f t="shared" si="1"/>
        <v>534.55425365322401</v>
      </c>
      <c r="H26" s="57"/>
    </row>
    <row r="27" spans="1:8" ht="15" customHeight="1" x14ac:dyDescent="0.2">
      <c r="A27" s="10" t="s">
        <v>31</v>
      </c>
      <c r="B27" s="3" t="s">
        <v>139</v>
      </c>
      <c r="C27" s="152">
        <v>3193404.8</v>
      </c>
      <c r="D27" s="153">
        <f>'Revenue Offset'!G27</f>
        <v>0.47057692148940627</v>
      </c>
      <c r="E27" s="154">
        <f t="shared" si="2"/>
        <v>1690662.200146507</v>
      </c>
      <c r="F27" s="55">
        <f>'FY2015 Detail'!D25</f>
        <v>2220</v>
      </c>
      <c r="G27" s="94">
        <f t="shared" si="1"/>
        <v>761.55954961554369</v>
      </c>
      <c r="H27" s="57"/>
    </row>
    <row r="28" spans="1:8" ht="15" customHeight="1" x14ac:dyDescent="0.2">
      <c r="A28" s="10" t="s">
        <v>33</v>
      </c>
      <c r="B28" s="3" t="s">
        <v>135</v>
      </c>
      <c r="C28" s="152">
        <v>886329.36</v>
      </c>
      <c r="D28" s="153">
        <f>'Revenue Offset'!G28</f>
        <v>0.41714297750943208</v>
      </c>
      <c r="E28" s="154">
        <f t="shared" si="2"/>
        <v>516603.29171557067</v>
      </c>
      <c r="F28" s="55">
        <f>'FY2015 Detail'!D26</f>
        <v>728</v>
      </c>
      <c r="G28" s="94">
        <f t="shared" si="1"/>
        <v>709.61990620270694</v>
      </c>
      <c r="H28" s="57"/>
    </row>
    <row r="29" spans="1:8" ht="15" customHeight="1" x14ac:dyDescent="0.2">
      <c r="A29" s="10" t="s">
        <v>35</v>
      </c>
      <c r="B29" s="3" t="s">
        <v>36</v>
      </c>
      <c r="C29" s="152">
        <v>2538300.09</v>
      </c>
      <c r="D29" s="153">
        <f>'Revenue Offset'!G29</f>
        <v>0.47780491960709021</v>
      </c>
      <c r="E29" s="154">
        <f>C29*(1-D29)</f>
        <v>1325487.8195588803</v>
      </c>
      <c r="F29" s="55">
        <f>'FY2015 Detail'!D27</f>
        <v>2737</v>
      </c>
      <c r="G29" s="94">
        <f t="shared" si="1"/>
        <v>484.28491763203516</v>
      </c>
      <c r="H29" s="57"/>
    </row>
    <row r="30" spans="1:8" ht="15" customHeight="1" x14ac:dyDescent="0.2">
      <c r="A30" s="10" t="s">
        <v>37</v>
      </c>
      <c r="B30" s="3" t="s">
        <v>136</v>
      </c>
      <c r="C30" s="152">
        <v>2741046.96</v>
      </c>
      <c r="D30" s="153">
        <f>'Revenue Offset'!G30</f>
        <v>0.480358996745472</v>
      </c>
      <c r="E30" s="154">
        <f>C30*(1-D30)</f>
        <v>1424360.392262174</v>
      </c>
      <c r="F30" s="55">
        <f>'FY2015 Detail'!D28</f>
        <v>1998</v>
      </c>
      <c r="G30" s="94">
        <f t="shared" si="1"/>
        <v>712.89308922030739</v>
      </c>
      <c r="H30" s="57"/>
    </row>
    <row r="31" spans="1:8" ht="15" customHeight="1" x14ac:dyDescent="0.2">
      <c r="A31" s="10" t="s">
        <v>39</v>
      </c>
      <c r="B31" s="3" t="s">
        <v>140</v>
      </c>
      <c r="C31" s="152">
        <v>6190632.4400000004</v>
      </c>
      <c r="D31" s="153">
        <f>'Revenue Offset'!G31</f>
        <v>0.56738066513450147</v>
      </c>
      <c r="E31" s="154">
        <f t="shared" si="2"/>
        <v>2678187.2885895786</v>
      </c>
      <c r="F31" s="55">
        <f>'FY2015 Detail'!D29</f>
        <v>3948</v>
      </c>
      <c r="G31" s="94">
        <f t="shared" si="1"/>
        <v>678.36557461742109</v>
      </c>
      <c r="H31" s="57"/>
    </row>
    <row r="32" spans="1:8" ht="15" customHeight="1" x14ac:dyDescent="0.2">
      <c r="A32" s="10" t="s">
        <v>46</v>
      </c>
      <c r="B32" s="3" t="s">
        <v>70</v>
      </c>
      <c r="C32" s="152">
        <v>4209024.38</v>
      </c>
      <c r="D32" s="153">
        <f>'Revenue Offset'!G32</f>
        <v>0.57944309996775789</v>
      </c>
      <c r="E32" s="154">
        <f t="shared" si="2"/>
        <v>1770134.2454129297</v>
      </c>
      <c r="F32" s="55">
        <f>'FY2015 Detail'!D30</f>
        <v>4546</v>
      </c>
      <c r="G32" s="94">
        <f t="shared" si="1"/>
        <v>389.38280805387808</v>
      </c>
      <c r="H32" s="57"/>
    </row>
    <row r="33" spans="1:8" ht="15" customHeight="1" x14ac:dyDescent="0.2">
      <c r="A33" s="10" t="s">
        <v>41</v>
      </c>
      <c r="B33" s="3" t="s">
        <v>122</v>
      </c>
      <c r="C33" s="152">
        <v>3101628.31</v>
      </c>
      <c r="D33" s="153">
        <f>'Revenue Offset'!G33</f>
        <v>0.47099075237597204</v>
      </c>
      <c r="E33" s="154">
        <f>C33*(1-D33)</f>
        <v>1640790.0586824855</v>
      </c>
      <c r="F33" s="55">
        <f>'FY2015 Detail'!D31</f>
        <v>2212</v>
      </c>
      <c r="G33" s="94">
        <f>E33/F33</f>
        <v>741.7676576322267</v>
      </c>
      <c r="H33" s="57"/>
    </row>
    <row r="34" spans="1:8" ht="15" customHeight="1" x14ac:dyDescent="0.2">
      <c r="A34" s="10" t="s">
        <v>42</v>
      </c>
      <c r="B34" s="3" t="s">
        <v>69</v>
      </c>
      <c r="C34" s="152">
        <v>5207286.9400000004</v>
      </c>
      <c r="D34" s="153">
        <f>'Revenue Offset'!G34</f>
        <v>0.55838092240113668</v>
      </c>
      <c r="E34" s="154">
        <f t="shared" si="2"/>
        <v>2299637.2552354075</v>
      </c>
      <c r="F34" s="55">
        <f>'FY2015 Detail'!D32</f>
        <v>3712</v>
      </c>
      <c r="G34" s="94">
        <f t="shared" si="1"/>
        <v>619.51434677678003</v>
      </c>
      <c r="H34" s="57"/>
    </row>
    <row r="35" spans="1:8" ht="15" customHeight="1" x14ac:dyDescent="0.2">
      <c r="A35" s="10" t="s">
        <v>43</v>
      </c>
      <c r="B35" s="3" t="s">
        <v>44</v>
      </c>
      <c r="C35" s="152">
        <v>21628481.809999999</v>
      </c>
      <c r="D35" s="153">
        <f>'Revenue Offset'!G35</f>
        <v>0.58900048828869056</v>
      </c>
      <c r="E35" s="154">
        <f t="shared" si="2"/>
        <v>8889295.4629669376</v>
      </c>
      <c r="F35" s="55">
        <f>'FY2015 Detail'!D33</f>
        <v>11837</v>
      </c>
      <c r="G35" s="94">
        <f t="shared" si="1"/>
        <v>750.97537069924283</v>
      </c>
      <c r="H35" s="57"/>
    </row>
    <row r="36" spans="1:8" ht="15" customHeight="1" x14ac:dyDescent="0.2">
      <c r="A36" s="10" t="s">
        <v>45</v>
      </c>
      <c r="B36" s="3" t="s">
        <v>141</v>
      </c>
      <c r="C36" s="152">
        <v>3530994.95</v>
      </c>
      <c r="D36" s="153">
        <f>'Revenue Offset'!G36</f>
        <v>0.56041037842414987</v>
      </c>
      <c r="E36" s="154">
        <f t="shared" si="2"/>
        <v>1552188.7338567378</v>
      </c>
      <c r="F36" s="55">
        <f>'FY2015 Detail'!D34</f>
        <v>3373</v>
      </c>
      <c r="G36" s="94">
        <f t="shared" si="1"/>
        <v>460.18047253386834</v>
      </c>
      <c r="H36" s="57"/>
    </row>
    <row r="37" spans="1:8" ht="15" customHeight="1" x14ac:dyDescent="0.2">
      <c r="A37" s="10" t="s">
        <v>47</v>
      </c>
      <c r="B37" s="3" t="s">
        <v>48</v>
      </c>
      <c r="C37" s="152">
        <v>14244113.16</v>
      </c>
      <c r="D37" s="153">
        <f>'Revenue Offset'!G37</f>
        <v>0.62676893077370865</v>
      </c>
      <c r="E37" s="154">
        <f t="shared" si="2"/>
        <v>5316345.5848870873</v>
      </c>
      <c r="F37" s="55">
        <f>'FY2015 Detail'!D35</f>
        <v>7890</v>
      </c>
      <c r="G37" s="94">
        <f t="shared" si="1"/>
        <v>673.80805892105036</v>
      </c>
      <c r="H37" s="57"/>
    </row>
    <row r="38" spans="1:8" ht="15" customHeight="1" x14ac:dyDescent="0.2">
      <c r="G38" s="57"/>
    </row>
    <row r="39" spans="1:8" ht="15" customHeight="1" x14ac:dyDescent="0.2">
      <c r="B39" s="56" t="s">
        <v>49</v>
      </c>
      <c r="C39" s="54">
        <f>SUM(C8:C38)</f>
        <v>205687677.88999999</v>
      </c>
      <c r="D39" s="155">
        <f>'Revenue Offset'!G39</f>
        <v>0.56368042379787286</v>
      </c>
      <c r="E39" s="54">
        <f>SUM(E8:E38)</f>
        <v>87712312.787039965</v>
      </c>
      <c r="F39" s="54">
        <f>SUM(F8:F38)</f>
        <v>135088</v>
      </c>
      <c r="G39" s="57">
        <f>+E39/F39</f>
        <v>649.29758962335632</v>
      </c>
    </row>
    <row r="40" spans="1:8" ht="12" customHeight="1" x14ac:dyDescent="0.2">
      <c r="C40" s="156"/>
    </row>
    <row r="41" spans="1:8" ht="15" customHeight="1" x14ac:dyDescent="0.2">
      <c r="A41" s="131" t="str">
        <f>'FY2015 Detail'!B39</f>
        <v>MnSCU Finance Division</v>
      </c>
      <c r="E41" s="157"/>
    </row>
    <row r="42" spans="1:8" ht="15" customHeight="1" x14ac:dyDescent="0.2">
      <c r="A42" s="131" t="str">
        <f>'FY2015 Detail'!B40</f>
        <v>s:\finance\bargain\FY18 allocation\Summary of FY2018 Institutional Allocation Draft</v>
      </c>
    </row>
    <row r="43" spans="1:8" ht="15" customHeight="1" x14ac:dyDescent="0.2">
      <c r="A43" s="131"/>
    </row>
    <row r="44" spans="1:8" ht="15" customHeight="1" x14ac:dyDescent="0.2">
      <c r="C44" s="57"/>
      <c r="D44" s="136"/>
      <c r="E44" s="57"/>
      <c r="F44" s="57"/>
    </row>
  </sheetData>
  <phoneticPr fontId="11" type="noConversion"/>
  <pageMargins left="0.75" right="0.4" top="0.64" bottom="0.28000000000000003" header="0.5" footer="0.24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249977111117893"/>
    <pageSetUpPr fitToPage="1"/>
  </sheetPr>
  <dimension ref="A1:S47"/>
  <sheetViews>
    <sheetView zoomScale="80" zoomScaleNormal="80" workbookViewId="0">
      <selection activeCell="C1" sqref="C1:C1048576"/>
    </sheetView>
  </sheetViews>
  <sheetFormatPr defaultRowHeight="12.75" x14ac:dyDescent="0.2"/>
  <cols>
    <col min="1" max="1" width="7.7109375" style="56" customWidth="1"/>
    <col min="2" max="2" width="30.7109375" style="159" customWidth="1"/>
    <col min="3" max="3" width="8.5703125" style="57" customWidth="1"/>
    <col min="4" max="4" width="12.7109375" style="57" customWidth="1"/>
    <col min="5" max="5" width="9.28515625" style="57" customWidth="1"/>
    <col min="6" max="6" width="12.7109375" style="57" bestFit="1" customWidth="1"/>
    <col min="7" max="7" width="11.42578125" style="57" customWidth="1"/>
    <col min="8" max="9" width="12" style="57" customWidth="1"/>
    <col min="10" max="10" width="16.140625" style="57" customWidth="1"/>
    <col min="11" max="11" width="12.28515625" style="57" customWidth="1"/>
    <col min="12" max="12" width="10.5703125" style="89" customWidth="1"/>
    <col min="13" max="13" width="14" style="160" customWidth="1"/>
    <col min="14" max="14" width="7.7109375" style="56" customWidth="1"/>
    <col min="15" max="15" width="30.7109375" style="159" customWidth="1"/>
    <col min="16" max="16" width="12.28515625" style="54" customWidth="1"/>
    <col min="17" max="18" width="16.42578125" style="89" customWidth="1"/>
    <col min="19" max="19" width="16.28515625" style="56" bestFit="1" customWidth="1"/>
    <col min="20" max="20" width="3.42578125" style="56" customWidth="1"/>
    <col min="21" max="16384" width="9.140625" style="56"/>
  </cols>
  <sheetData>
    <row r="1" spans="1:19" ht="15.75" x14ac:dyDescent="0.25">
      <c r="A1" s="158" t="s">
        <v>72</v>
      </c>
      <c r="N1" s="158" t="s">
        <v>72</v>
      </c>
      <c r="R1" s="278"/>
    </row>
    <row r="2" spans="1:19" x14ac:dyDescent="0.2">
      <c r="A2" s="110" t="s">
        <v>131</v>
      </c>
      <c r="N2" s="110" t="s">
        <v>131</v>
      </c>
      <c r="R2" s="173"/>
    </row>
    <row r="3" spans="1:19" x14ac:dyDescent="0.2">
      <c r="A3" s="89" t="s">
        <v>296</v>
      </c>
      <c r="N3" s="89" t="s">
        <v>143</v>
      </c>
      <c r="R3" s="278"/>
    </row>
    <row r="4" spans="1:19" s="161" customFormat="1" ht="13.5" x14ac:dyDescent="0.25">
      <c r="A4" s="279" t="s">
        <v>178</v>
      </c>
      <c r="B4" s="162"/>
      <c r="N4" s="279" t="s">
        <v>179</v>
      </c>
      <c r="O4" s="162"/>
    </row>
    <row r="5" spans="1:19" s="280" customFormat="1" ht="12.75" customHeight="1" x14ac:dyDescent="0.2">
      <c r="B5" s="281"/>
      <c r="C5" s="163"/>
      <c r="D5" s="163"/>
      <c r="E5" s="163"/>
      <c r="F5" s="92" t="s">
        <v>102</v>
      </c>
      <c r="G5" s="163"/>
      <c r="H5" s="163"/>
      <c r="I5" s="163"/>
      <c r="J5" s="92" t="s">
        <v>180</v>
      </c>
      <c r="K5" s="92" t="s">
        <v>181</v>
      </c>
      <c r="L5" s="93"/>
      <c r="M5" s="164" t="s">
        <v>182</v>
      </c>
      <c r="O5" s="281"/>
      <c r="P5" s="164" t="s">
        <v>103</v>
      </c>
      <c r="Q5" s="93" t="s">
        <v>183</v>
      </c>
      <c r="R5" s="93"/>
    </row>
    <row r="6" spans="1:19" s="105" customFormat="1" x14ac:dyDescent="0.2">
      <c r="B6" s="93"/>
      <c r="C6" s="92" t="s">
        <v>81</v>
      </c>
      <c r="D6" s="92" t="s">
        <v>74</v>
      </c>
      <c r="E6" s="92" t="s">
        <v>75</v>
      </c>
      <c r="F6" s="92" t="s">
        <v>76</v>
      </c>
      <c r="G6" s="92" t="s">
        <v>77</v>
      </c>
      <c r="H6" s="92" t="s">
        <v>78</v>
      </c>
      <c r="I6" s="92" t="s">
        <v>83</v>
      </c>
      <c r="J6" s="92" t="s">
        <v>84</v>
      </c>
      <c r="K6" s="93" t="s">
        <v>116</v>
      </c>
      <c r="L6" s="93" t="s">
        <v>128</v>
      </c>
      <c r="M6" s="93" t="s">
        <v>104</v>
      </c>
      <c r="O6" s="93"/>
      <c r="P6" s="93" t="s">
        <v>184</v>
      </c>
      <c r="Q6" s="93" t="s">
        <v>185</v>
      </c>
      <c r="R6" s="93" t="s">
        <v>186</v>
      </c>
    </row>
    <row r="7" spans="1:19" s="165" customFormat="1" ht="76.5" x14ac:dyDescent="0.2">
      <c r="A7" s="282" t="s">
        <v>0</v>
      </c>
      <c r="B7" s="283" t="s">
        <v>1</v>
      </c>
      <c r="C7" s="284" t="s">
        <v>194</v>
      </c>
      <c r="D7" s="285" t="s">
        <v>187</v>
      </c>
      <c r="E7" s="285" t="s">
        <v>105</v>
      </c>
      <c r="F7" s="285" t="s">
        <v>106</v>
      </c>
      <c r="G7" s="286" t="s">
        <v>196</v>
      </c>
      <c r="H7" s="287" t="s">
        <v>188</v>
      </c>
      <c r="I7" s="287" t="s">
        <v>189</v>
      </c>
      <c r="J7" s="287" t="s">
        <v>190</v>
      </c>
      <c r="K7" s="256" t="s">
        <v>191</v>
      </c>
      <c r="L7" s="288" t="s">
        <v>124</v>
      </c>
      <c r="M7" s="256" t="s">
        <v>107</v>
      </c>
      <c r="N7" s="282" t="s">
        <v>0</v>
      </c>
      <c r="O7" s="283" t="s">
        <v>1</v>
      </c>
      <c r="P7" s="289" t="s">
        <v>108</v>
      </c>
      <c r="Q7" s="256" t="s">
        <v>197</v>
      </c>
      <c r="R7" s="256" t="s">
        <v>192</v>
      </c>
      <c r="S7" s="282" t="s">
        <v>193</v>
      </c>
    </row>
    <row r="8" spans="1:19" s="167" customFormat="1" x14ac:dyDescent="0.2">
      <c r="A8" s="56"/>
      <c r="B8" s="290"/>
      <c r="C8" s="291"/>
      <c r="D8" s="292"/>
      <c r="E8" s="292"/>
      <c r="F8" s="292"/>
      <c r="G8" s="293"/>
      <c r="H8" s="294"/>
      <c r="I8" s="294"/>
      <c r="J8" s="294"/>
      <c r="K8" s="295"/>
      <c r="L8" s="166"/>
      <c r="M8" s="295"/>
      <c r="N8" s="56"/>
      <c r="O8" s="290"/>
      <c r="P8" s="296"/>
      <c r="Q8" s="295"/>
      <c r="R8" s="166"/>
    </row>
    <row r="9" spans="1:19" x14ac:dyDescent="0.2">
      <c r="A9" s="297" t="s">
        <v>2</v>
      </c>
      <c r="B9" s="260" t="s">
        <v>133</v>
      </c>
      <c r="C9" s="298">
        <f>'FY2015 Detail'!D6</f>
        <v>1993</v>
      </c>
      <c r="D9" s="299">
        <v>1171238</v>
      </c>
      <c r="E9" s="299">
        <v>1447</v>
      </c>
      <c r="F9" s="299">
        <f>+C9*E9</f>
        <v>2883871</v>
      </c>
      <c r="G9" s="300">
        <v>4024</v>
      </c>
      <c r="H9" s="301">
        <v>1062992</v>
      </c>
      <c r="I9" s="301">
        <v>443</v>
      </c>
      <c r="J9" s="301">
        <f t="shared" ref="J9:J38" si="0">+G9*I9</f>
        <v>1782632</v>
      </c>
      <c r="K9" s="302">
        <f t="shared" ref="K9:K38" si="1">+H9+J9+D9+F9</f>
        <v>6900733</v>
      </c>
      <c r="L9" s="303">
        <f>'Revenue Offset'!G8</f>
        <v>0.48639221315791692</v>
      </c>
      <c r="M9" s="304">
        <f t="shared" ref="M9:M38" si="2">K9*(1-L9)</f>
        <v>3544270.2037181286</v>
      </c>
      <c r="N9" s="297" t="s">
        <v>2</v>
      </c>
      <c r="O9" s="260" t="s">
        <v>133</v>
      </c>
      <c r="P9" s="305"/>
      <c r="Q9" s="304">
        <f t="shared" ref="Q9:Q15" si="3">+M9+P9</f>
        <v>3544270.2037181286</v>
      </c>
      <c r="R9" s="304">
        <v>3045383.8832546086</v>
      </c>
      <c r="S9" s="306">
        <f t="shared" ref="S9:S38" si="4">AVERAGE(Q9:R9)</f>
        <v>3294827.0434863688</v>
      </c>
    </row>
    <row r="10" spans="1:19" x14ac:dyDescent="0.2">
      <c r="A10" s="297" t="s">
        <v>4</v>
      </c>
      <c r="B10" s="260" t="s">
        <v>129</v>
      </c>
      <c r="C10" s="298">
        <f>'FY2015 Detail'!D7</f>
        <v>7071</v>
      </c>
      <c r="D10" s="299">
        <v>1171238</v>
      </c>
      <c r="E10" s="299">
        <v>1447</v>
      </c>
      <c r="F10" s="299">
        <f t="shared" ref="F10:F38" si="5">+C10*E10</f>
        <v>10231737</v>
      </c>
      <c r="G10" s="300">
        <f>12450+2920</f>
        <v>15370</v>
      </c>
      <c r="H10" s="301">
        <v>1062992</v>
      </c>
      <c r="I10" s="301">
        <v>443</v>
      </c>
      <c r="J10" s="301">
        <f t="shared" si="0"/>
        <v>6808910</v>
      </c>
      <c r="K10" s="302">
        <f>+H10+J10+D10+F10</f>
        <v>19274877</v>
      </c>
      <c r="L10" s="303">
        <f>'Revenue Offset'!G9</f>
        <v>0.54453309777645564</v>
      </c>
      <c r="M10" s="304">
        <f>K10*(1-L10)</f>
        <v>8779068.5179298446</v>
      </c>
      <c r="N10" s="297" t="s">
        <v>4</v>
      </c>
      <c r="O10" s="260" t="s">
        <v>129</v>
      </c>
      <c r="P10" s="305">
        <f>200000*2</f>
        <v>400000</v>
      </c>
      <c r="Q10" s="304">
        <f t="shared" si="3"/>
        <v>9179068.5179298446</v>
      </c>
      <c r="R10" s="304">
        <v>7797374.203269124</v>
      </c>
      <c r="S10" s="306">
        <f t="shared" si="4"/>
        <v>8488221.3605994843</v>
      </c>
    </row>
    <row r="11" spans="1:19" ht="25.5" x14ac:dyDescent="0.2">
      <c r="A11" s="297" t="s">
        <v>5</v>
      </c>
      <c r="B11" s="260" t="s">
        <v>118</v>
      </c>
      <c r="C11" s="298">
        <f>'FY2015 Detail'!D8</f>
        <v>4943</v>
      </c>
      <c r="D11" s="299">
        <v>3487534</v>
      </c>
      <c r="E11" s="299">
        <v>1729</v>
      </c>
      <c r="F11" s="299">
        <f t="shared" si="5"/>
        <v>8546447</v>
      </c>
      <c r="G11" s="300">
        <f>6632+2145</f>
        <v>8777</v>
      </c>
      <c r="H11" s="301">
        <v>1466521</v>
      </c>
      <c r="I11" s="301">
        <v>1039</v>
      </c>
      <c r="J11" s="301">
        <f t="shared" si="0"/>
        <v>9119303</v>
      </c>
      <c r="K11" s="302">
        <f t="shared" si="1"/>
        <v>22619805</v>
      </c>
      <c r="L11" s="303">
        <f>'Revenue Offset'!G10</f>
        <v>0.62453757853391123</v>
      </c>
      <c r="M11" s="304">
        <f t="shared" si="2"/>
        <v>8492886.7583907414</v>
      </c>
      <c r="N11" s="297" t="s">
        <v>5</v>
      </c>
      <c r="O11" s="260" t="s">
        <v>118</v>
      </c>
      <c r="P11" s="305">
        <v>200000</v>
      </c>
      <c r="Q11" s="304">
        <f t="shared" si="3"/>
        <v>8692886.7583907414</v>
      </c>
      <c r="R11" s="304">
        <v>7721219.3346927539</v>
      </c>
      <c r="S11" s="306">
        <f t="shared" si="4"/>
        <v>8207053.0465417476</v>
      </c>
    </row>
    <row r="12" spans="1:19" x14ac:dyDescent="0.2">
      <c r="A12" s="297" t="s">
        <v>6</v>
      </c>
      <c r="B12" s="260" t="s">
        <v>7</v>
      </c>
      <c r="C12" s="298">
        <f>'FY2015 Detail'!D9</f>
        <v>2710</v>
      </c>
      <c r="D12" s="299">
        <v>1171238</v>
      </c>
      <c r="E12" s="299">
        <v>1447</v>
      </c>
      <c r="F12" s="299">
        <f t="shared" si="5"/>
        <v>3921370</v>
      </c>
      <c r="G12" s="300">
        <v>5347</v>
      </c>
      <c r="H12" s="301">
        <v>1062992</v>
      </c>
      <c r="I12" s="301">
        <v>443</v>
      </c>
      <c r="J12" s="301">
        <f t="shared" si="0"/>
        <v>2368721</v>
      </c>
      <c r="K12" s="302">
        <f t="shared" si="1"/>
        <v>8524321</v>
      </c>
      <c r="L12" s="303">
        <f>'Revenue Offset'!G11</f>
        <v>0.45051477858043915</v>
      </c>
      <c r="M12" s="304">
        <f t="shared" si="2"/>
        <v>4683988.4121364132</v>
      </c>
      <c r="N12" s="297" t="s">
        <v>6</v>
      </c>
      <c r="O12" s="260" t="s">
        <v>7</v>
      </c>
      <c r="P12" s="305">
        <v>200000</v>
      </c>
      <c r="Q12" s="304">
        <f t="shared" si="3"/>
        <v>4883988.4121364132</v>
      </c>
      <c r="R12" s="304">
        <v>4198112.3413623758</v>
      </c>
      <c r="S12" s="306">
        <f t="shared" si="4"/>
        <v>4541050.3767493945</v>
      </c>
    </row>
    <row r="13" spans="1:19" x14ac:dyDescent="0.2">
      <c r="A13" s="297" t="s">
        <v>8</v>
      </c>
      <c r="B13" s="260" t="s">
        <v>9</v>
      </c>
      <c r="C13" s="298">
        <f>'FY2015 Detail'!D10</f>
        <v>6204</v>
      </c>
      <c r="D13" s="299">
        <v>1171238</v>
      </c>
      <c r="E13" s="299">
        <v>1447</v>
      </c>
      <c r="F13" s="299">
        <f t="shared" si="5"/>
        <v>8977188</v>
      </c>
      <c r="G13" s="300">
        <v>13641</v>
      </c>
      <c r="H13" s="301">
        <v>1062992</v>
      </c>
      <c r="I13" s="301">
        <v>443</v>
      </c>
      <c r="J13" s="301">
        <f t="shared" si="0"/>
        <v>6042963</v>
      </c>
      <c r="K13" s="302">
        <f t="shared" si="1"/>
        <v>17254381</v>
      </c>
      <c r="L13" s="303">
        <f>'Revenue Offset'!G12</f>
        <v>0.55140263148750424</v>
      </c>
      <c r="M13" s="304">
        <f t="shared" si="2"/>
        <v>7740269.9119120054</v>
      </c>
      <c r="N13" s="297" t="s">
        <v>8</v>
      </c>
      <c r="O13" s="260" t="s">
        <v>9</v>
      </c>
      <c r="P13" s="305"/>
      <c r="Q13" s="304">
        <f t="shared" si="3"/>
        <v>7740269.9119120054</v>
      </c>
      <c r="R13" s="304">
        <v>6529611.5907714032</v>
      </c>
      <c r="S13" s="306">
        <f t="shared" si="4"/>
        <v>7134940.7513417043</v>
      </c>
    </row>
    <row r="14" spans="1:19" x14ac:dyDescent="0.2">
      <c r="A14" s="297" t="s">
        <v>10</v>
      </c>
      <c r="B14" s="3" t="s">
        <v>161</v>
      </c>
      <c r="C14" s="298">
        <f>'FY2015 Detail'!D11</f>
        <v>5554</v>
      </c>
      <c r="D14" s="299">
        <v>1171238</v>
      </c>
      <c r="E14" s="299">
        <v>1447</v>
      </c>
      <c r="F14" s="299">
        <f t="shared" si="5"/>
        <v>8036638</v>
      </c>
      <c r="G14" s="300">
        <f>4460+8609</f>
        <v>13069</v>
      </c>
      <c r="H14" s="301">
        <v>1062992</v>
      </c>
      <c r="I14" s="301">
        <v>443</v>
      </c>
      <c r="J14" s="301">
        <f t="shared" si="0"/>
        <v>5789567</v>
      </c>
      <c r="K14" s="302">
        <f t="shared" si="1"/>
        <v>16060435</v>
      </c>
      <c r="L14" s="303">
        <f>'Revenue Offset'!G13</f>
        <v>0.52418938559296724</v>
      </c>
      <c r="M14" s="304">
        <f t="shared" si="2"/>
        <v>7641725.4449942131</v>
      </c>
      <c r="N14" s="297" t="s">
        <v>10</v>
      </c>
      <c r="O14" s="3" t="s">
        <v>161</v>
      </c>
      <c r="P14" s="305">
        <v>200000</v>
      </c>
      <c r="Q14" s="304">
        <f t="shared" si="3"/>
        <v>7841725.4449942131</v>
      </c>
      <c r="R14" s="304">
        <v>7536942.0319516147</v>
      </c>
      <c r="S14" s="306">
        <f t="shared" si="4"/>
        <v>7689333.7384729143</v>
      </c>
    </row>
    <row r="15" spans="1:19" x14ac:dyDescent="0.2">
      <c r="A15" s="297" t="s">
        <v>12</v>
      </c>
      <c r="B15" s="260" t="s">
        <v>13</v>
      </c>
      <c r="C15" s="298">
        <f>'FY2015 Detail'!D12</f>
        <v>1188</v>
      </c>
      <c r="D15" s="299">
        <v>1171238</v>
      </c>
      <c r="E15" s="299">
        <v>1447</v>
      </c>
      <c r="F15" s="299">
        <f t="shared" si="5"/>
        <v>1719036</v>
      </c>
      <c r="G15" s="300">
        <v>2481</v>
      </c>
      <c r="H15" s="301">
        <v>1062992</v>
      </c>
      <c r="I15" s="301">
        <v>443</v>
      </c>
      <c r="J15" s="301">
        <f t="shared" si="0"/>
        <v>1099083</v>
      </c>
      <c r="K15" s="302">
        <f t="shared" si="1"/>
        <v>5052349</v>
      </c>
      <c r="L15" s="303">
        <f>'Revenue Offset'!G14</f>
        <v>0.44980615125135653</v>
      </c>
      <c r="M15" s="304">
        <f t="shared" si="2"/>
        <v>2779771.3415313605</v>
      </c>
      <c r="N15" s="297" t="s">
        <v>12</v>
      </c>
      <c r="O15" s="260" t="s">
        <v>13</v>
      </c>
      <c r="P15" s="305"/>
      <c r="Q15" s="304">
        <f t="shared" si="3"/>
        <v>2779771.3415313605</v>
      </c>
      <c r="R15" s="304">
        <v>2124657.232228836</v>
      </c>
      <c r="S15" s="306">
        <f t="shared" si="4"/>
        <v>2452214.2868800983</v>
      </c>
    </row>
    <row r="16" spans="1:19" x14ac:dyDescent="0.2">
      <c r="A16" s="297" t="s">
        <v>14</v>
      </c>
      <c r="B16" s="260" t="s">
        <v>147</v>
      </c>
      <c r="C16" s="298">
        <f>'FY2015 Detail'!D13</f>
        <v>3739</v>
      </c>
      <c r="D16" s="299">
        <v>1171238</v>
      </c>
      <c r="E16" s="299">
        <v>1447</v>
      </c>
      <c r="F16" s="299">
        <f t="shared" si="5"/>
        <v>5410333</v>
      </c>
      <c r="G16" s="300">
        <v>8671</v>
      </c>
      <c r="H16" s="301">
        <v>1062992</v>
      </c>
      <c r="I16" s="301">
        <v>443</v>
      </c>
      <c r="J16" s="301">
        <f t="shared" si="0"/>
        <v>3841253</v>
      </c>
      <c r="K16" s="302">
        <f t="shared" si="1"/>
        <v>11485816</v>
      </c>
      <c r="L16" s="303">
        <f>'Revenue Offset'!G15</f>
        <v>0.46982173592688686</v>
      </c>
      <c r="M16" s="304">
        <f t="shared" si="2"/>
        <v>6089529.9883431885</v>
      </c>
      <c r="N16" s="297" t="s">
        <v>14</v>
      </c>
      <c r="O16" s="260" t="s">
        <v>147</v>
      </c>
      <c r="P16" s="305">
        <v>200000</v>
      </c>
      <c r="Q16" s="304">
        <f t="shared" ref="Q16:Q38" si="6">+M16+P16</f>
        <v>6289529.9883431885</v>
      </c>
      <c r="R16" s="304">
        <v>5418292.3917440912</v>
      </c>
      <c r="S16" s="306">
        <f t="shared" si="4"/>
        <v>5853911.1900436394</v>
      </c>
    </row>
    <row r="17" spans="1:19" x14ac:dyDescent="0.2">
      <c r="A17" s="297" t="s">
        <v>16</v>
      </c>
      <c r="B17" s="260" t="s">
        <v>17</v>
      </c>
      <c r="C17" s="298">
        <f>'FY2015 Detail'!D14</f>
        <v>3292</v>
      </c>
      <c r="D17" s="299">
        <v>1171238</v>
      </c>
      <c r="E17" s="299">
        <v>1447</v>
      </c>
      <c r="F17" s="299">
        <f t="shared" si="5"/>
        <v>4763524</v>
      </c>
      <c r="G17" s="300">
        <v>8147</v>
      </c>
      <c r="H17" s="301">
        <v>1062992</v>
      </c>
      <c r="I17" s="301">
        <v>443</v>
      </c>
      <c r="J17" s="301">
        <f t="shared" si="0"/>
        <v>3609121</v>
      </c>
      <c r="K17" s="302">
        <f t="shared" si="1"/>
        <v>10606875</v>
      </c>
      <c r="L17" s="303">
        <f>'Revenue Offset'!G16</f>
        <v>0.51416422428157793</v>
      </c>
      <c r="M17" s="304">
        <f t="shared" si="2"/>
        <v>5153199.3435733384</v>
      </c>
      <c r="N17" s="297" t="s">
        <v>16</v>
      </c>
      <c r="O17" s="260" t="s">
        <v>17</v>
      </c>
      <c r="P17" s="305"/>
      <c r="Q17" s="304">
        <f t="shared" si="6"/>
        <v>5153199.3435733384</v>
      </c>
      <c r="R17" s="304">
        <v>4628512.4208760438</v>
      </c>
      <c r="S17" s="306">
        <f t="shared" si="4"/>
        <v>4890855.8822246911</v>
      </c>
    </row>
    <row r="18" spans="1:19" x14ac:dyDescent="0.2">
      <c r="A18" s="297" t="s">
        <v>18</v>
      </c>
      <c r="B18" s="260" t="s">
        <v>148</v>
      </c>
      <c r="C18" s="298">
        <f>'FY2015 Detail'!D15</f>
        <v>6102</v>
      </c>
      <c r="D18" s="299">
        <v>3487534</v>
      </c>
      <c r="E18" s="299">
        <v>1729</v>
      </c>
      <c r="F18" s="299">
        <f t="shared" si="5"/>
        <v>10550358</v>
      </c>
      <c r="G18" s="300">
        <v>12706</v>
      </c>
      <c r="H18" s="301">
        <v>1466521</v>
      </c>
      <c r="I18" s="301">
        <v>1039</v>
      </c>
      <c r="J18" s="301">
        <f t="shared" si="0"/>
        <v>13201534</v>
      </c>
      <c r="K18" s="302">
        <f t="shared" si="1"/>
        <v>28705947</v>
      </c>
      <c r="L18" s="303">
        <f>'Revenue Offset'!G17</f>
        <v>0.62836591974304412</v>
      </c>
      <c r="M18" s="304">
        <f t="shared" si="2"/>
        <v>10668108.211249921</v>
      </c>
      <c r="N18" s="297" t="s">
        <v>18</v>
      </c>
      <c r="O18" s="260" t="s">
        <v>148</v>
      </c>
      <c r="P18" s="305"/>
      <c r="Q18" s="304">
        <f t="shared" si="6"/>
        <v>10668108.211249921</v>
      </c>
      <c r="R18" s="304">
        <v>9939297.588411117</v>
      </c>
      <c r="S18" s="306">
        <f t="shared" si="4"/>
        <v>10303702.89983052</v>
      </c>
    </row>
    <row r="19" spans="1:19" x14ac:dyDescent="0.2">
      <c r="A19" s="297" t="s">
        <v>19</v>
      </c>
      <c r="B19" s="260" t="s">
        <v>134</v>
      </c>
      <c r="C19" s="298">
        <f>'FY2015 Detail'!D16</f>
        <v>5658</v>
      </c>
      <c r="D19" s="299">
        <v>1171238</v>
      </c>
      <c r="E19" s="299">
        <v>1447</v>
      </c>
      <c r="F19" s="299">
        <f t="shared" si="5"/>
        <v>8187126</v>
      </c>
      <c r="G19" s="300">
        <v>13794</v>
      </c>
      <c r="H19" s="301">
        <v>1062992</v>
      </c>
      <c r="I19" s="301">
        <v>443</v>
      </c>
      <c r="J19" s="301">
        <f t="shared" si="0"/>
        <v>6110742</v>
      </c>
      <c r="K19" s="302">
        <f t="shared" si="1"/>
        <v>16532098</v>
      </c>
      <c r="L19" s="303">
        <f>'Revenue Offset'!G18</f>
        <v>0.53241164777845162</v>
      </c>
      <c r="M19" s="304">
        <f t="shared" si="2"/>
        <v>7730216.4625851559</v>
      </c>
      <c r="N19" s="297" t="s">
        <v>19</v>
      </c>
      <c r="O19" s="260" t="s">
        <v>134</v>
      </c>
      <c r="P19" s="305"/>
      <c r="Q19" s="304">
        <f t="shared" si="6"/>
        <v>7730216.4625851559</v>
      </c>
      <c r="R19" s="304">
        <v>6290010.1645938037</v>
      </c>
      <c r="S19" s="306">
        <f t="shared" si="4"/>
        <v>7010113.3135894798</v>
      </c>
    </row>
    <row r="20" spans="1:19" x14ac:dyDescent="0.2">
      <c r="A20" s="297" t="s">
        <v>21</v>
      </c>
      <c r="B20" s="268" t="s">
        <v>203</v>
      </c>
      <c r="C20" s="298">
        <f>'FY2015 Detail'!D17</f>
        <v>1316</v>
      </c>
      <c r="D20" s="299">
        <v>1171238</v>
      </c>
      <c r="E20" s="299">
        <v>1447</v>
      </c>
      <c r="F20" s="299">
        <f t="shared" si="5"/>
        <v>1904252</v>
      </c>
      <c r="G20" s="300">
        <v>2889</v>
      </c>
      <c r="H20" s="301">
        <v>1062992</v>
      </c>
      <c r="I20" s="301">
        <v>443</v>
      </c>
      <c r="J20" s="301">
        <f t="shared" si="0"/>
        <v>1279827</v>
      </c>
      <c r="K20" s="302">
        <f t="shared" si="1"/>
        <v>5418309</v>
      </c>
      <c r="L20" s="303">
        <f>'Revenue Offset'!G19</f>
        <v>0.4520282118181288</v>
      </c>
      <c r="M20" s="304">
        <f t="shared" si="2"/>
        <v>2969080.4716519262</v>
      </c>
      <c r="N20" s="297" t="s">
        <v>21</v>
      </c>
      <c r="O20" s="268" t="s">
        <v>71</v>
      </c>
      <c r="P20" s="305">
        <v>200000</v>
      </c>
      <c r="Q20" s="304">
        <f t="shared" si="6"/>
        <v>3169080.4716519262</v>
      </c>
      <c r="R20" s="304">
        <v>2836409.6440802501</v>
      </c>
      <c r="S20" s="306">
        <f t="shared" si="4"/>
        <v>3002745.0578660881</v>
      </c>
    </row>
    <row r="21" spans="1:19" x14ac:dyDescent="0.2">
      <c r="A21" s="269" t="s">
        <v>114</v>
      </c>
      <c r="B21" s="260" t="s">
        <v>149</v>
      </c>
      <c r="C21" s="298">
        <f>'FY2015 Detail'!D18</f>
        <v>4319</v>
      </c>
      <c r="D21" s="299">
        <v>1171238</v>
      </c>
      <c r="E21" s="299">
        <v>1447</v>
      </c>
      <c r="F21" s="299">
        <f>+C21*E21</f>
        <v>6249593</v>
      </c>
      <c r="G21" s="300">
        <v>8560</v>
      </c>
      <c r="H21" s="301">
        <v>1062992</v>
      </c>
      <c r="I21" s="301">
        <v>443</v>
      </c>
      <c r="J21" s="301">
        <f t="shared" si="0"/>
        <v>3792080</v>
      </c>
      <c r="K21" s="302">
        <f t="shared" si="1"/>
        <v>12275903</v>
      </c>
      <c r="L21" s="303">
        <f>'Revenue Offset'!G20</f>
        <v>0.50552887215666698</v>
      </c>
      <c r="M21" s="304">
        <f t="shared" si="2"/>
        <v>6070079.6017053556</v>
      </c>
      <c r="N21" s="269" t="s">
        <v>114</v>
      </c>
      <c r="O21" s="260" t="s">
        <v>149</v>
      </c>
      <c r="P21" s="305">
        <f>(200000)+(352*500)+(392*500)</f>
        <v>572000</v>
      </c>
      <c r="Q21" s="304">
        <f>+M21+P21</f>
        <v>6642079.6017053556</v>
      </c>
      <c r="R21" s="304">
        <v>6163937.1840646435</v>
      </c>
      <c r="S21" s="306">
        <f t="shared" si="4"/>
        <v>6403008.3928849995</v>
      </c>
    </row>
    <row r="22" spans="1:19" x14ac:dyDescent="0.2">
      <c r="A22" s="297" t="s">
        <v>26</v>
      </c>
      <c r="B22" s="260" t="s">
        <v>62</v>
      </c>
      <c r="C22" s="298">
        <f>'FY2015 Detail'!D19</f>
        <v>5316</v>
      </c>
      <c r="D22" s="299">
        <v>3487534</v>
      </c>
      <c r="E22" s="299">
        <v>1729</v>
      </c>
      <c r="F22" s="299">
        <f>+C22*E22</f>
        <v>9191364</v>
      </c>
      <c r="G22" s="300">
        <v>7303</v>
      </c>
      <c r="H22" s="301">
        <v>1466521</v>
      </c>
      <c r="I22" s="301">
        <v>1039</v>
      </c>
      <c r="J22" s="301">
        <f t="shared" si="0"/>
        <v>7587817</v>
      </c>
      <c r="K22" s="302">
        <f t="shared" si="1"/>
        <v>21733236</v>
      </c>
      <c r="L22" s="303">
        <f>'Revenue Offset'!G21</f>
        <v>0.57582615107919288</v>
      </c>
      <c r="M22" s="304">
        <f t="shared" si="2"/>
        <v>9218670.3636242468</v>
      </c>
      <c r="N22" s="297" t="s">
        <v>26</v>
      </c>
      <c r="O22" s="260" t="s">
        <v>62</v>
      </c>
      <c r="P22" s="305"/>
      <c r="Q22" s="304">
        <f t="shared" si="6"/>
        <v>9218670.3636242468</v>
      </c>
      <c r="R22" s="304">
        <v>9215041.6722875684</v>
      </c>
      <c r="S22" s="306">
        <f t="shared" si="4"/>
        <v>9216856.0179559067</v>
      </c>
    </row>
    <row r="23" spans="1:19" x14ac:dyDescent="0.2">
      <c r="A23" s="297" t="s">
        <v>22</v>
      </c>
      <c r="B23" s="260" t="s">
        <v>23</v>
      </c>
      <c r="C23" s="298">
        <f>'FY2015 Detail'!D20</f>
        <v>13752</v>
      </c>
      <c r="D23" s="299">
        <v>3487534</v>
      </c>
      <c r="E23" s="299">
        <v>1729</v>
      </c>
      <c r="F23" s="299">
        <f>+C23*E23</f>
        <v>23777208</v>
      </c>
      <c r="G23" s="300">
        <v>18789</v>
      </c>
      <c r="H23" s="301">
        <v>1466521</v>
      </c>
      <c r="I23" s="301">
        <v>1039</v>
      </c>
      <c r="J23" s="301">
        <f t="shared" si="0"/>
        <v>19521771</v>
      </c>
      <c r="K23" s="302">
        <f t="shared" si="1"/>
        <v>48253034</v>
      </c>
      <c r="L23" s="303">
        <f>'Revenue Offset'!G22</f>
        <v>0.65067460123907328</v>
      </c>
      <c r="M23" s="304">
        <f t="shared" si="2"/>
        <v>16856010.343474556</v>
      </c>
      <c r="N23" s="297" t="s">
        <v>22</v>
      </c>
      <c r="O23" s="260" t="s">
        <v>23</v>
      </c>
      <c r="P23" s="305"/>
      <c r="Q23" s="304">
        <f t="shared" si="6"/>
        <v>16856010.343474556</v>
      </c>
      <c r="R23" s="304">
        <v>16372482.105001025</v>
      </c>
      <c r="S23" s="306">
        <f t="shared" si="4"/>
        <v>16614246.22423779</v>
      </c>
    </row>
    <row r="24" spans="1:19" x14ac:dyDescent="0.2">
      <c r="A24" s="297" t="s">
        <v>24</v>
      </c>
      <c r="B24" s="260" t="s">
        <v>145</v>
      </c>
      <c r="C24" s="298">
        <f>'FY2015 Detail'!D21</f>
        <v>1858</v>
      </c>
      <c r="D24" s="299">
        <v>1171238</v>
      </c>
      <c r="E24" s="299">
        <v>1447</v>
      </c>
      <c r="F24" s="299">
        <f t="shared" si="5"/>
        <v>2688526</v>
      </c>
      <c r="G24" s="300">
        <v>4906</v>
      </c>
      <c r="H24" s="301">
        <v>1062992</v>
      </c>
      <c r="I24" s="301">
        <v>443</v>
      </c>
      <c r="J24" s="301">
        <f t="shared" si="0"/>
        <v>2173358</v>
      </c>
      <c r="K24" s="302">
        <f t="shared" si="1"/>
        <v>7096114</v>
      </c>
      <c r="L24" s="303">
        <f>'Revenue Offset'!G23</f>
        <v>0.46447839587742934</v>
      </c>
      <c r="M24" s="304">
        <f t="shared" si="2"/>
        <v>3800122.3523166315</v>
      </c>
      <c r="N24" s="297" t="s">
        <v>24</v>
      </c>
      <c r="O24" s="260" t="s">
        <v>145</v>
      </c>
      <c r="P24" s="305">
        <f>(200000)+((114+246+348)*500)</f>
        <v>554000</v>
      </c>
      <c r="Q24" s="304">
        <f t="shared" si="6"/>
        <v>4354122.352316631</v>
      </c>
      <c r="R24" s="304">
        <v>3638420.1691799886</v>
      </c>
      <c r="S24" s="306">
        <f t="shared" si="4"/>
        <v>3996271.26074831</v>
      </c>
    </row>
    <row r="25" spans="1:19" x14ac:dyDescent="0.2">
      <c r="A25" s="297" t="s">
        <v>27</v>
      </c>
      <c r="B25" s="260" t="s">
        <v>137</v>
      </c>
      <c r="C25" s="298">
        <f>'FY2015 Detail'!D22</f>
        <v>6837</v>
      </c>
      <c r="D25" s="299">
        <v>1171238</v>
      </c>
      <c r="E25" s="299">
        <v>1447</v>
      </c>
      <c r="F25" s="299">
        <f t="shared" si="5"/>
        <v>9893139</v>
      </c>
      <c r="G25" s="300">
        <v>15719</v>
      </c>
      <c r="H25" s="301">
        <v>1062992</v>
      </c>
      <c r="I25" s="301">
        <v>443</v>
      </c>
      <c r="J25" s="301">
        <f t="shared" si="0"/>
        <v>6963517</v>
      </c>
      <c r="K25" s="302">
        <f t="shared" si="1"/>
        <v>19090886</v>
      </c>
      <c r="L25" s="303">
        <f>'Revenue Offset'!G24</f>
        <v>0.60509441794710717</v>
      </c>
      <c r="M25" s="304">
        <f t="shared" si="2"/>
        <v>7539097.4477354232</v>
      </c>
      <c r="N25" s="297" t="s">
        <v>27</v>
      </c>
      <c r="O25" s="260" t="s">
        <v>137</v>
      </c>
      <c r="P25" s="305"/>
      <c r="Q25" s="304">
        <f t="shared" si="6"/>
        <v>7539097.4477354232</v>
      </c>
      <c r="R25" s="304">
        <v>6396853.6445164206</v>
      </c>
      <c r="S25" s="306">
        <f t="shared" si="4"/>
        <v>6967975.5461259224</v>
      </c>
    </row>
    <row r="26" spans="1:19" ht="25.5" x14ac:dyDescent="0.2">
      <c r="A26" s="297" t="s">
        <v>29</v>
      </c>
      <c r="B26" s="260" t="s">
        <v>138</v>
      </c>
      <c r="C26" s="298">
        <f>'FY2015 Detail'!D23</f>
        <v>4446</v>
      </c>
      <c r="D26" s="299">
        <v>1171238</v>
      </c>
      <c r="E26" s="299">
        <v>1447</v>
      </c>
      <c r="F26" s="299">
        <f t="shared" si="5"/>
        <v>6433362</v>
      </c>
      <c r="G26" s="300">
        <v>11410</v>
      </c>
      <c r="H26" s="301">
        <v>1062992</v>
      </c>
      <c r="I26" s="301">
        <v>443</v>
      </c>
      <c r="J26" s="301">
        <f t="shared" si="0"/>
        <v>5054630</v>
      </c>
      <c r="K26" s="302">
        <f t="shared" si="1"/>
        <v>13722222</v>
      </c>
      <c r="L26" s="303">
        <f>'Revenue Offset'!G25</f>
        <v>0.57956459714040864</v>
      </c>
      <c r="M26" s="304">
        <f t="shared" si="2"/>
        <v>5769307.9346987475</v>
      </c>
      <c r="N26" s="297" t="s">
        <v>29</v>
      </c>
      <c r="O26" s="260" t="s">
        <v>138</v>
      </c>
      <c r="P26" s="305"/>
      <c r="Q26" s="304">
        <f t="shared" si="6"/>
        <v>5769307.9346987475</v>
      </c>
      <c r="R26" s="304">
        <v>5312140.5283139292</v>
      </c>
      <c r="S26" s="306">
        <f t="shared" si="4"/>
        <v>5540724.2315063383</v>
      </c>
    </row>
    <row r="27" spans="1:19" ht="25.5" x14ac:dyDescent="0.2">
      <c r="A27" s="269" t="s">
        <v>123</v>
      </c>
      <c r="B27" s="260" t="s">
        <v>63</v>
      </c>
      <c r="C27" s="298">
        <f>'FY2015 Detail'!D24</f>
        <v>3589</v>
      </c>
      <c r="D27" s="299">
        <v>1171238</v>
      </c>
      <c r="E27" s="299">
        <v>1447</v>
      </c>
      <c r="F27" s="299">
        <f t="shared" si="5"/>
        <v>5193283</v>
      </c>
      <c r="G27" s="300">
        <v>6597</v>
      </c>
      <c r="H27" s="301">
        <v>1062992</v>
      </c>
      <c r="I27" s="301">
        <v>443</v>
      </c>
      <c r="J27" s="301">
        <f t="shared" si="0"/>
        <v>2922471</v>
      </c>
      <c r="K27" s="302">
        <f t="shared" si="1"/>
        <v>10349984</v>
      </c>
      <c r="L27" s="303">
        <f>'Revenue Offset'!G26</f>
        <v>0.465784930494264</v>
      </c>
      <c r="M27" s="304">
        <f t="shared" si="2"/>
        <v>5529117.4219432548</v>
      </c>
      <c r="N27" s="269" t="s">
        <v>123</v>
      </c>
      <c r="O27" s="260" t="s">
        <v>63</v>
      </c>
      <c r="P27" s="169">
        <f>(200000*4)+(278*500)</f>
        <v>939000</v>
      </c>
      <c r="Q27" s="304">
        <f>+M27+P27</f>
        <v>6468117.4219432548</v>
      </c>
      <c r="R27" s="304">
        <v>6339252.9793234421</v>
      </c>
      <c r="S27" s="306">
        <f>AVERAGE(Q27:R27)</f>
        <v>6403685.2006333489</v>
      </c>
    </row>
    <row r="28" spans="1:19" x14ac:dyDescent="0.2">
      <c r="A28" s="297" t="s">
        <v>31</v>
      </c>
      <c r="B28" s="260" t="s">
        <v>139</v>
      </c>
      <c r="C28" s="298">
        <f>'FY2015 Detail'!D25</f>
        <v>2220</v>
      </c>
      <c r="D28" s="299">
        <v>1171238</v>
      </c>
      <c r="E28" s="299">
        <v>1447</v>
      </c>
      <c r="F28" s="299">
        <f t="shared" si="5"/>
        <v>3212340</v>
      </c>
      <c r="G28" s="300">
        <v>5160</v>
      </c>
      <c r="H28" s="301">
        <v>1062992</v>
      </c>
      <c r="I28" s="301">
        <v>443</v>
      </c>
      <c r="J28" s="301">
        <f t="shared" si="0"/>
        <v>2285880</v>
      </c>
      <c r="K28" s="302">
        <f t="shared" si="1"/>
        <v>7732450</v>
      </c>
      <c r="L28" s="303">
        <f>'Revenue Offset'!G27</f>
        <v>0.47057692148940627</v>
      </c>
      <c r="M28" s="304">
        <f t="shared" si="2"/>
        <v>4093737.483429241</v>
      </c>
      <c r="N28" s="297" t="s">
        <v>31</v>
      </c>
      <c r="O28" s="260" t="s">
        <v>139</v>
      </c>
      <c r="P28" s="305">
        <v>200000</v>
      </c>
      <c r="Q28" s="304">
        <f t="shared" si="6"/>
        <v>4293737.483429241</v>
      </c>
      <c r="R28" s="304">
        <v>3653253.6406024597</v>
      </c>
      <c r="S28" s="306">
        <f t="shared" si="4"/>
        <v>3973495.5620158501</v>
      </c>
    </row>
    <row r="29" spans="1:19" x14ac:dyDescent="0.2">
      <c r="A29" s="297" t="s">
        <v>33</v>
      </c>
      <c r="B29" s="260" t="s">
        <v>135</v>
      </c>
      <c r="C29" s="298">
        <f>'FY2015 Detail'!D26</f>
        <v>728</v>
      </c>
      <c r="D29" s="299">
        <v>1171238</v>
      </c>
      <c r="E29" s="299">
        <v>1447</v>
      </c>
      <c r="F29" s="299">
        <f t="shared" si="5"/>
        <v>1053416</v>
      </c>
      <c r="G29" s="300">
        <v>2373</v>
      </c>
      <c r="H29" s="301">
        <v>1062992</v>
      </c>
      <c r="I29" s="301">
        <v>443</v>
      </c>
      <c r="J29" s="301">
        <f t="shared" si="0"/>
        <v>1051239</v>
      </c>
      <c r="K29" s="302">
        <f t="shared" si="1"/>
        <v>4338885</v>
      </c>
      <c r="L29" s="303">
        <f>'Revenue Offset'!G28</f>
        <v>0.41714297750943208</v>
      </c>
      <c r="M29" s="304">
        <f t="shared" si="2"/>
        <v>2528949.5920289876</v>
      </c>
      <c r="N29" s="297" t="s">
        <v>33</v>
      </c>
      <c r="O29" s="260" t="s">
        <v>135</v>
      </c>
      <c r="P29" s="305"/>
      <c r="Q29" s="304">
        <f t="shared" si="6"/>
        <v>2528949.5920289876</v>
      </c>
      <c r="R29" s="304">
        <v>1475725.931424879</v>
      </c>
      <c r="S29" s="306">
        <f t="shared" si="4"/>
        <v>2002337.7617269333</v>
      </c>
    </row>
    <row r="30" spans="1:19" x14ac:dyDescent="0.2">
      <c r="A30" s="297" t="s">
        <v>35</v>
      </c>
      <c r="B30" s="260" t="s">
        <v>36</v>
      </c>
      <c r="C30" s="298">
        <f>'FY2015 Detail'!D27</f>
        <v>2737</v>
      </c>
      <c r="D30" s="299">
        <v>1171238</v>
      </c>
      <c r="E30" s="299">
        <v>1447</v>
      </c>
      <c r="F30" s="299">
        <f t="shared" si="5"/>
        <v>3960439</v>
      </c>
      <c r="G30" s="300">
        <v>5297</v>
      </c>
      <c r="H30" s="301">
        <v>1062992</v>
      </c>
      <c r="I30" s="301">
        <v>443</v>
      </c>
      <c r="J30" s="301">
        <f t="shared" si="0"/>
        <v>2346571</v>
      </c>
      <c r="K30" s="302">
        <f t="shared" si="1"/>
        <v>8541240</v>
      </c>
      <c r="L30" s="303">
        <f>'Revenue Offset'!G29</f>
        <v>0.47780491960709021</v>
      </c>
      <c r="M30" s="304">
        <f t="shared" si="2"/>
        <v>4460193.5084551377</v>
      </c>
      <c r="N30" s="297" t="s">
        <v>35</v>
      </c>
      <c r="O30" s="260" t="s">
        <v>36</v>
      </c>
      <c r="P30" s="305">
        <v>200000</v>
      </c>
      <c r="Q30" s="304">
        <f t="shared" si="6"/>
        <v>4660193.5084551377</v>
      </c>
      <c r="R30" s="304">
        <v>4286516.016898945</v>
      </c>
      <c r="S30" s="306">
        <f t="shared" si="4"/>
        <v>4473354.7626770418</v>
      </c>
    </row>
    <row r="31" spans="1:19" x14ac:dyDescent="0.2">
      <c r="A31" s="297" t="s">
        <v>37</v>
      </c>
      <c r="B31" s="260" t="s">
        <v>136</v>
      </c>
      <c r="C31" s="298">
        <f>'FY2015 Detail'!D28</f>
        <v>1998</v>
      </c>
      <c r="D31" s="299">
        <v>1171238</v>
      </c>
      <c r="E31" s="299">
        <v>1447</v>
      </c>
      <c r="F31" s="299">
        <f t="shared" si="5"/>
        <v>2891106</v>
      </c>
      <c r="G31" s="300">
        <v>4321</v>
      </c>
      <c r="H31" s="301">
        <v>1062992</v>
      </c>
      <c r="I31" s="301">
        <v>443</v>
      </c>
      <c r="J31" s="301">
        <f t="shared" si="0"/>
        <v>1914203</v>
      </c>
      <c r="K31" s="302">
        <f t="shared" si="1"/>
        <v>7039539</v>
      </c>
      <c r="L31" s="303">
        <f>'Revenue Offset'!G30</f>
        <v>0.480358996745472</v>
      </c>
      <c r="M31" s="304">
        <f t="shared" si="2"/>
        <v>3658033.1084093768</v>
      </c>
      <c r="N31" s="297" t="s">
        <v>37</v>
      </c>
      <c r="O31" s="260" t="s">
        <v>136</v>
      </c>
      <c r="P31" s="305">
        <f>200000+(142*500)</f>
        <v>271000</v>
      </c>
      <c r="Q31" s="304">
        <f t="shared" si="6"/>
        <v>3929033.1084093768</v>
      </c>
      <c r="R31" s="304">
        <v>3682314.2171621299</v>
      </c>
      <c r="S31" s="306">
        <f t="shared" si="4"/>
        <v>3805673.6627857536</v>
      </c>
    </row>
    <row r="32" spans="1:19" x14ac:dyDescent="0.2">
      <c r="A32" s="297" t="s">
        <v>39</v>
      </c>
      <c r="B32" s="260" t="s">
        <v>140</v>
      </c>
      <c r="C32" s="298">
        <f>'FY2015 Detail'!D29</f>
        <v>3948</v>
      </c>
      <c r="D32" s="299">
        <v>1171238</v>
      </c>
      <c r="E32" s="299">
        <v>1447</v>
      </c>
      <c r="F32" s="299">
        <f t="shared" si="5"/>
        <v>5712756</v>
      </c>
      <c r="G32" s="300">
        <v>8146</v>
      </c>
      <c r="H32" s="301">
        <v>1062992</v>
      </c>
      <c r="I32" s="301">
        <v>443</v>
      </c>
      <c r="J32" s="301">
        <f t="shared" si="0"/>
        <v>3608678</v>
      </c>
      <c r="K32" s="302">
        <f t="shared" si="1"/>
        <v>11555664</v>
      </c>
      <c r="L32" s="303">
        <f>'Revenue Offset'!G31</f>
        <v>0.56738066513450147</v>
      </c>
      <c r="M32" s="304">
        <f t="shared" si="2"/>
        <v>4999203.673609186</v>
      </c>
      <c r="N32" s="297" t="s">
        <v>39</v>
      </c>
      <c r="O32" s="260" t="s">
        <v>140</v>
      </c>
      <c r="P32" s="305"/>
      <c r="Q32" s="304">
        <f t="shared" si="6"/>
        <v>4999203.673609186</v>
      </c>
      <c r="R32" s="304">
        <v>4493858.0673180455</v>
      </c>
      <c r="S32" s="306">
        <f t="shared" si="4"/>
        <v>4746530.8704636153</v>
      </c>
    </row>
    <row r="33" spans="1:19" x14ac:dyDescent="0.2">
      <c r="A33" s="297" t="s">
        <v>46</v>
      </c>
      <c r="B33" s="260" t="s">
        <v>70</v>
      </c>
      <c r="C33" s="298">
        <f>'FY2015 Detail'!D30</f>
        <v>4546</v>
      </c>
      <c r="D33" s="299">
        <v>1171238</v>
      </c>
      <c r="E33" s="299">
        <v>1447</v>
      </c>
      <c r="F33" s="299">
        <f t="shared" si="5"/>
        <v>6578062</v>
      </c>
      <c r="G33" s="300">
        <v>10796</v>
      </c>
      <c r="H33" s="301">
        <v>1062992</v>
      </c>
      <c r="I33" s="301">
        <v>443</v>
      </c>
      <c r="J33" s="301">
        <f t="shared" si="0"/>
        <v>4782628</v>
      </c>
      <c r="K33" s="302">
        <f t="shared" si="1"/>
        <v>13594920</v>
      </c>
      <c r="L33" s="303">
        <f>'Revenue Offset'!G32</f>
        <v>0.57944309996775789</v>
      </c>
      <c r="M33" s="304">
        <f t="shared" si="2"/>
        <v>5717437.4113863287</v>
      </c>
      <c r="N33" s="297" t="s">
        <v>46</v>
      </c>
      <c r="O33" s="260" t="s">
        <v>70</v>
      </c>
      <c r="P33" s="305"/>
      <c r="Q33" s="304">
        <f t="shared" si="6"/>
        <v>5717437.4113863287</v>
      </c>
      <c r="R33" s="304">
        <v>4306127.6632546894</v>
      </c>
      <c r="S33" s="306">
        <f t="shared" si="4"/>
        <v>5011782.5373205096</v>
      </c>
    </row>
    <row r="34" spans="1:19" x14ac:dyDescent="0.2">
      <c r="A34" s="297" t="s">
        <v>41</v>
      </c>
      <c r="B34" s="260" t="s">
        <v>122</v>
      </c>
      <c r="C34" s="298">
        <f>'FY2015 Detail'!D31</f>
        <v>2212</v>
      </c>
      <c r="D34" s="299">
        <v>1171238</v>
      </c>
      <c r="E34" s="299">
        <v>1447</v>
      </c>
      <c r="F34" s="299">
        <f t="shared" si="5"/>
        <v>3200764</v>
      </c>
      <c r="G34" s="300">
        <v>5102</v>
      </c>
      <c r="H34" s="301">
        <v>1062992</v>
      </c>
      <c r="I34" s="301">
        <v>443</v>
      </c>
      <c r="J34" s="301">
        <f t="shared" si="0"/>
        <v>2260186</v>
      </c>
      <c r="K34" s="302">
        <f t="shared" si="1"/>
        <v>7695180</v>
      </c>
      <c r="L34" s="303">
        <f>'Revenue Offset'!G33</f>
        <v>0.47099075237597204</v>
      </c>
      <c r="M34" s="304">
        <f t="shared" si="2"/>
        <v>4070821.382131468</v>
      </c>
      <c r="N34" s="297" t="s">
        <v>41</v>
      </c>
      <c r="O34" s="260" t="s">
        <v>122</v>
      </c>
      <c r="P34" s="305">
        <v>200000</v>
      </c>
      <c r="Q34" s="304">
        <f t="shared" si="6"/>
        <v>4270821.3821314685</v>
      </c>
      <c r="R34" s="304">
        <v>3705918.2584650409</v>
      </c>
      <c r="S34" s="306">
        <f t="shared" si="4"/>
        <v>3988369.8202982545</v>
      </c>
    </row>
    <row r="35" spans="1:19" x14ac:dyDescent="0.2">
      <c r="A35" s="297" t="s">
        <v>42</v>
      </c>
      <c r="B35" s="260" t="s">
        <v>69</v>
      </c>
      <c r="C35" s="298">
        <f>'FY2015 Detail'!D32</f>
        <v>3712</v>
      </c>
      <c r="D35" s="299">
        <v>3487534</v>
      </c>
      <c r="E35" s="299">
        <v>1729</v>
      </c>
      <c r="F35" s="299">
        <f t="shared" si="5"/>
        <v>6418048</v>
      </c>
      <c r="G35" s="300">
        <v>7641</v>
      </c>
      <c r="H35" s="301">
        <v>1466521</v>
      </c>
      <c r="I35" s="301">
        <v>1039</v>
      </c>
      <c r="J35" s="301">
        <f t="shared" si="0"/>
        <v>7938999</v>
      </c>
      <c r="K35" s="302">
        <f t="shared" si="1"/>
        <v>19311102</v>
      </c>
      <c r="L35" s="303">
        <f>'Revenue Offset'!G34</f>
        <v>0.55838092240113668</v>
      </c>
      <c r="M35" s="304">
        <f t="shared" si="2"/>
        <v>8528151.0526575651</v>
      </c>
      <c r="N35" s="297" t="s">
        <v>42</v>
      </c>
      <c r="O35" s="260" t="s">
        <v>69</v>
      </c>
      <c r="P35" s="305"/>
      <c r="Q35" s="304">
        <f t="shared" si="6"/>
        <v>8528151.0526575651</v>
      </c>
      <c r="R35" s="304">
        <v>6874198.1532276636</v>
      </c>
      <c r="S35" s="306">
        <f t="shared" si="4"/>
        <v>7701174.6029426139</v>
      </c>
    </row>
    <row r="36" spans="1:19" x14ac:dyDescent="0.2">
      <c r="A36" s="297" t="s">
        <v>43</v>
      </c>
      <c r="B36" s="260" t="s">
        <v>44</v>
      </c>
      <c r="C36" s="298">
        <f>'FY2015 Detail'!D33</f>
        <v>11837</v>
      </c>
      <c r="D36" s="299">
        <v>3487534</v>
      </c>
      <c r="E36" s="299">
        <v>1729</v>
      </c>
      <c r="F36" s="299">
        <f>+C36*E36</f>
        <v>20466173</v>
      </c>
      <c r="G36" s="300">
        <v>18972</v>
      </c>
      <c r="H36" s="301">
        <v>1466521</v>
      </c>
      <c r="I36" s="301">
        <v>1039</v>
      </c>
      <c r="J36" s="301">
        <f t="shared" si="0"/>
        <v>19711908</v>
      </c>
      <c r="K36" s="302">
        <f t="shared" si="1"/>
        <v>45132136</v>
      </c>
      <c r="L36" s="303">
        <f>'Revenue Offset'!G35</f>
        <v>0.58900048828869056</v>
      </c>
      <c r="M36" s="304">
        <f t="shared" si="2"/>
        <v>18549285.858488411</v>
      </c>
      <c r="N36" s="297" t="s">
        <v>43</v>
      </c>
      <c r="O36" s="260" t="s">
        <v>44</v>
      </c>
      <c r="P36" s="305"/>
      <c r="Q36" s="304">
        <f>+M36+P36</f>
        <v>18549285.858488411</v>
      </c>
      <c r="R36" s="304">
        <v>18695898.551363025</v>
      </c>
      <c r="S36" s="306">
        <f t="shared" si="4"/>
        <v>18622592.204925716</v>
      </c>
    </row>
    <row r="37" spans="1:19" x14ac:dyDescent="0.2">
      <c r="A37" s="297" t="s">
        <v>45</v>
      </c>
      <c r="B37" s="260" t="s">
        <v>141</v>
      </c>
      <c r="C37" s="298">
        <f>'FY2015 Detail'!D34</f>
        <v>3373</v>
      </c>
      <c r="D37" s="299">
        <v>1171238</v>
      </c>
      <c r="E37" s="299">
        <v>1447</v>
      </c>
      <c r="F37" s="299">
        <f t="shared" si="5"/>
        <v>4880731</v>
      </c>
      <c r="G37" s="300">
        <v>6836</v>
      </c>
      <c r="H37" s="301">
        <v>1062992</v>
      </c>
      <c r="I37" s="301">
        <v>443</v>
      </c>
      <c r="J37" s="301">
        <f t="shared" si="0"/>
        <v>3028348</v>
      </c>
      <c r="K37" s="302">
        <f t="shared" si="1"/>
        <v>10143309</v>
      </c>
      <c r="L37" s="303">
        <f>'Revenue Offset'!G36</f>
        <v>0.56041037842414987</v>
      </c>
      <c r="M37" s="304">
        <f t="shared" si="2"/>
        <v>4458893.3648369145</v>
      </c>
      <c r="N37" s="297" t="s">
        <v>45</v>
      </c>
      <c r="O37" s="260" t="s">
        <v>141</v>
      </c>
      <c r="P37" s="305"/>
      <c r="Q37" s="304">
        <f t="shared" si="6"/>
        <v>4458893.3648369145</v>
      </c>
      <c r="R37" s="304">
        <v>3605640.5489033205</v>
      </c>
      <c r="S37" s="306">
        <f t="shared" si="4"/>
        <v>4032266.9568701172</v>
      </c>
    </row>
    <row r="38" spans="1:19" x14ac:dyDescent="0.2">
      <c r="A38" s="297" t="s">
        <v>47</v>
      </c>
      <c r="B38" s="260" t="s">
        <v>48</v>
      </c>
      <c r="C38" s="298">
        <f>'FY2015 Detail'!D35</f>
        <v>7890</v>
      </c>
      <c r="D38" s="299">
        <v>3487534</v>
      </c>
      <c r="E38" s="299">
        <v>1729</v>
      </c>
      <c r="F38" s="299">
        <f t="shared" si="5"/>
        <v>13641810</v>
      </c>
      <c r="G38" s="300">
        <v>9929</v>
      </c>
      <c r="H38" s="301">
        <v>1466521</v>
      </c>
      <c r="I38" s="301">
        <v>1039</v>
      </c>
      <c r="J38" s="301">
        <f t="shared" si="0"/>
        <v>10316231</v>
      </c>
      <c r="K38" s="302">
        <f t="shared" si="1"/>
        <v>28912096</v>
      </c>
      <c r="L38" s="303">
        <f>'Revenue Offset'!G37</f>
        <v>0.62676893077370865</v>
      </c>
      <c r="M38" s="304">
        <f t="shared" si="2"/>
        <v>10790892.503653182</v>
      </c>
      <c r="N38" s="297" t="s">
        <v>47</v>
      </c>
      <c r="O38" s="260" t="s">
        <v>48</v>
      </c>
      <c r="P38" s="305">
        <v>200000</v>
      </c>
      <c r="Q38" s="304">
        <f t="shared" si="6"/>
        <v>10990892.503653182</v>
      </c>
      <c r="R38" s="304">
        <v>11014092.118236398</v>
      </c>
      <c r="S38" s="306">
        <f t="shared" si="4"/>
        <v>11002492.31094479</v>
      </c>
    </row>
    <row r="39" spans="1:19" x14ac:dyDescent="0.2">
      <c r="B39" s="170"/>
      <c r="K39" s="58"/>
      <c r="L39" s="129"/>
      <c r="M39" s="58"/>
      <c r="O39" s="170"/>
      <c r="P39" s="58"/>
      <c r="Q39" s="220"/>
      <c r="R39" s="220"/>
    </row>
    <row r="40" spans="1:19" x14ac:dyDescent="0.2">
      <c r="B40" s="159" t="s">
        <v>49</v>
      </c>
      <c r="C40" s="57">
        <f>SUM(C9:C39)</f>
        <v>135088</v>
      </c>
      <c r="D40" s="57">
        <f>SUM(D9:D39)</f>
        <v>51351212</v>
      </c>
      <c r="F40" s="57">
        <f>SUM(F9:F39)</f>
        <v>210574000</v>
      </c>
      <c r="G40" s="57">
        <f>SUM(G9:G39)</f>
        <v>266773</v>
      </c>
      <c r="H40" s="57">
        <f>SUM(H9:H39)</f>
        <v>34714463</v>
      </c>
      <c r="J40" s="57">
        <f>SUM(J9:J39)</f>
        <v>168314171</v>
      </c>
      <c r="K40" s="57">
        <f>SUM(K9:K39)</f>
        <v>464953846</v>
      </c>
      <c r="L40" s="104">
        <f>'Revenue Offset'!G39</f>
        <v>0.56368042379787286</v>
      </c>
      <c r="M40" s="57">
        <f t="shared" ref="M40:S40" si="7">SUM(M9:M39)</f>
        <v>202910119.47260022</v>
      </c>
      <c r="O40" s="159" t="s">
        <v>49</v>
      </c>
      <c r="P40" s="57">
        <f t="shared" si="7"/>
        <v>4536000</v>
      </c>
      <c r="Q40" s="57">
        <f t="shared" si="7"/>
        <v>207446119.47260022</v>
      </c>
      <c r="R40" s="57">
        <f t="shared" si="7"/>
        <v>187297494.27677962</v>
      </c>
      <c r="S40" s="57">
        <f t="shared" si="7"/>
        <v>197371806.87468988</v>
      </c>
    </row>
    <row r="41" spans="1:19" x14ac:dyDescent="0.2">
      <c r="B41" s="170"/>
      <c r="L41" s="171"/>
      <c r="O41" s="170"/>
      <c r="Q41" s="171"/>
      <c r="R41" s="171"/>
    </row>
    <row r="42" spans="1:19" x14ac:dyDescent="0.2">
      <c r="A42" s="131" t="str">
        <f>+'[1]FY2015 Detail'!B40</f>
        <v>MnSCU Finance Division</v>
      </c>
      <c r="B42" s="172"/>
      <c r="M42" s="173"/>
      <c r="N42" s="131">
        <f>+'[1]FY2015 Detail'!O40</f>
        <v>0</v>
      </c>
      <c r="O42" s="172"/>
    </row>
    <row r="43" spans="1:19" x14ac:dyDescent="0.2">
      <c r="A43" s="131"/>
      <c r="B43" s="172"/>
      <c r="N43" s="131">
        <f>+'[1]FY2015 Detail'!O41</f>
        <v>0</v>
      </c>
      <c r="O43" s="172"/>
    </row>
    <row r="44" spans="1:19" x14ac:dyDescent="0.2">
      <c r="A44" s="131"/>
      <c r="B44" s="172"/>
      <c r="N44" s="131"/>
      <c r="O44" s="172"/>
    </row>
    <row r="46" spans="1:19" x14ac:dyDescent="0.2">
      <c r="E46" s="208"/>
      <c r="I46" s="208"/>
      <c r="L46" s="307"/>
      <c r="M46" s="210"/>
      <c r="P46" s="209"/>
    </row>
    <row r="47" spans="1:19" x14ac:dyDescent="0.2">
      <c r="E47" s="208"/>
      <c r="I47" s="208"/>
      <c r="L47" s="307"/>
      <c r="M47" s="210"/>
      <c r="P47" s="209"/>
    </row>
  </sheetData>
  <pageMargins left="0.7" right="0.7" top="0.75" bottom="0.75" header="0.3" footer="0.3"/>
  <pageSetup scale="7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2"/>
  <sheetViews>
    <sheetView topLeftCell="A13" zoomScale="90" zoomScaleNormal="90" workbookViewId="0">
      <selection activeCell="B13" sqref="B13"/>
    </sheetView>
  </sheetViews>
  <sheetFormatPr defaultRowHeight="12.75" x14ac:dyDescent="0.2"/>
  <cols>
    <col min="1" max="1" width="46.28515625" style="372" bestFit="1" customWidth="1"/>
    <col min="2" max="2" width="10" style="372" bestFit="1" customWidth="1"/>
    <col min="3" max="3" width="11.85546875" style="372" customWidth="1"/>
    <col min="4" max="4" width="11.28515625" style="456" customWidth="1"/>
    <col min="5" max="5" width="10" style="456" bestFit="1" customWidth="1"/>
    <col min="6" max="6" width="10" style="456" customWidth="1"/>
    <col min="7" max="7" width="11.85546875" style="456" customWidth="1"/>
    <col min="8" max="8" width="11.28515625" style="456" bestFit="1" customWidth="1"/>
    <col min="9" max="9" width="8" style="372" customWidth="1"/>
    <col min="10" max="10" width="17.28515625" style="372" customWidth="1"/>
    <col min="11" max="11" width="11.5703125" style="372" customWidth="1"/>
    <col min="12" max="12" width="11.28515625" style="372" customWidth="1"/>
    <col min="13" max="13" width="11.5703125" style="372" customWidth="1"/>
    <col min="14" max="14" width="1.5703125" style="372" customWidth="1"/>
    <col min="15" max="15" width="11.42578125" style="372" customWidth="1"/>
    <col min="16" max="16384" width="9.140625" style="372"/>
  </cols>
  <sheetData>
    <row r="1" spans="1:13" x14ac:dyDescent="0.2">
      <c r="A1" s="490" t="s">
        <v>297</v>
      </c>
      <c r="B1" s="490"/>
      <c r="C1" s="490"/>
      <c r="D1" s="490"/>
      <c r="E1" s="490"/>
      <c r="F1" s="490"/>
      <c r="G1" s="490"/>
      <c r="H1" s="490"/>
      <c r="I1" s="490"/>
      <c r="J1" s="371"/>
      <c r="K1" s="371"/>
      <c r="L1" s="371" t="s">
        <v>240</v>
      </c>
      <c r="M1" s="371" t="s">
        <v>247</v>
      </c>
    </row>
    <row r="2" spans="1:13" x14ac:dyDescent="0.2">
      <c r="A2" s="369" t="s">
        <v>270</v>
      </c>
      <c r="B2" s="369"/>
      <c r="C2" s="369"/>
      <c r="D2" s="370"/>
      <c r="E2" s="370"/>
      <c r="F2" s="370"/>
      <c r="G2" s="370"/>
      <c r="H2" s="370"/>
      <c r="I2" s="369"/>
      <c r="J2" s="372" t="s">
        <v>271</v>
      </c>
      <c r="L2" s="373">
        <v>0.1</v>
      </c>
      <c r="M2" s="373">
        <v>0.1</v>
      </c>
    </row>
    <row r="3" spans="1:13" x14ac:dyDescent="0.2">
      <c r="A3" s="491" t="s">
        <v>272</v>
      </c>
      <c r="B3" s="491"/>
      <c r="C3" s="491"/>
      <c r="D3" s="491"/>
      <c r="E3" s="491"/>
      <c r="F3" s="491"/>
      <c r="G3" s="491"/>
      <c r="H3" s="491"/>
      <c r="I3" s="491"/>
      <c r="J3" s="372" t="s">
        <v>273</v>
      </c>
      <c r="L3" s="373">
        <v>0.75</v>
      </c>
      <c r="M3" s="373">
        <v>0.75</v>
      </c>
    </row>
    <row r="4" spans="1:13" ht="15.6" customHeight="1" thickBot="1" x14ac:dyDescent="0.25">
      <c r="B4" s="374" t="s">
        <v>81</v>
      </c>
      <c r="C4" s="374" t="s">
        <v>74</v>
      </c>
      <c r="D4" s="374" t="s">
        <v>75</v>
      </c>
      <c r="E4" s="374" t="s">
        <v>76</v>
      </c>
      <c r="F4" s="374" t="s">
        <v>77</v>
      </c>
      <c r="G4" s="374" t="s">
        <v>78</v>
      </c>
      <c r="H4" s="374" t="s">
        <v>274</v>
      </c>
      <c r="I4" s="375"/>
      <c r="J4" s="376" t="s">
        <v>275</v>
      </c>
      <c r="K4" s="376" t="s">
        <v>116</v>
      </c>
      <c r="L4" s="376" t="s">
        <v>276</v>
      </c>
      <c r="M4" s="376" t="s">
        <v>277</v>
      </c>
    </row>
    <row r="5" spans="1:13" s="386" customFormat="1" ht="77.25" thickBot="1" x14ac:dyDescent="0.25">
      <c r="A5" s="377" t="s">
        <v>240</v>
      </c>
      <c r="B5" s="378" t="s">
        <v>278</v>
      </c>
      <c r="C5" s="379" t="s">
        <v>279</v>
      </c>
      <c r="D5" s="380" t="s">
        <v>280</v>
      </c>
      <c r="E5" s="380" t="s">
        <v>281</v>
      </c>
      <c r="F5" s="380" t="s">
        <v>282</v>
      </c>
      <c r="G5" s="381" t="s">
        <v>283</v>
      </c>
      <c r="H5" s="380" t="s">
        <v>284</v>
      </c>
      <c r="I5" s="382" t="s">
        <v>285</v>
      </c>
      <c r="J5" s="383" t="s">
        <v>286</v>
      </c>
      <c r="K5" s="384" t="s">
        <v>287</v>
      </c>
      <c r="L5" s="383" t="s">
        <v>288</v>
      </c>
      <c r="M5" s="385" t="s">
        <v>289</v>
      </c>
    </row>
    <row r="6" spans="1:13" s="399" customFormat="1" ht="12.75" customHeight="1" x14ac:dyDescent="0.2">
      <c r="A6" s="387" t="s">
        <v>220</v>
      </c>
      <c r="B6" s="388">
        <v>3958</v>
      </c>
      <c r="C6" s="389">
        <v>431</v>
      </c>
      <c r="D6" s="390">
        <v>578</v>
      </c>
      <c r="E6" s="390">
        <v>882</v>
      </c>
      <c r="F6" s="391">
        <v>344</v>
      </c>
      <c r="G6" s="392">
        <v>64</v>
      </c>
      <c r="H6" s="393">
        <f>SUM(D6:F6)-G6</f>
        <v>1740</v>
      </c>
      <c r="I6" s="394">
        <f t="shared" ref="I6:I21" si="0">H6/H$48</f>
        <v>9.0928093645484941E-3</v>
      </c>
      <c r="J6" s="395">
        <f t="shared" ref="J6:J36" si="1">H6*$L$2</f>
        <v>174</v>
      </c>
      <c r="K6" s="396">
        <f>C6*L3</f>
        <v>323.25</v>
      </c>
      <c r="L6" s="397">
        <f t="shared" ref="L6:L36" si="2">(B6-C6)+J6+K6</f>
        <v>4024.25</v>
      </c>
      <c r="M6" s="398">
        <f t="shared" ref="M6:M37" si="3">(L6+-B6)/B6</f>
        <v>1.6738251642243556E-2</v>
      </c>
    </row>
    <row r="7" spans="1:13" s="399" customFormat="1" x14ac:dyDescent="0.2">
      <c r="A7" s="400" t="s">
        <v>221</v>
      </c>
      <c r="B7" s="388">
        <v>12211</v>
      </c>
      <c r="C7" s="389">
        <v>2047</v>
      </c>
      <c r="D7" s="390">
        <v>2004</v>
      </c>
      <c r="E7" s="390">
        <v>3474</v>
      </c>
      <c r="F7" s="401">
        <v>2503</v>
      </c>
      <c r="G7" s="402">
        <v>473</v>
      </c>
      <c r="H7" s="403">
        <f>SUM(D7:F7)-G7</f>
        <v>7508</v>
      </c>
      <c r="I7" s="398">
        <f t="shared" si="0"/>
        <v>3.9234949832775923E-2</v>
      </c>
      <c r="J7" s="404">
        <f t="shared" si="1"/>
        <v>750.80000000000007</v>
      </c>
      <c r="K7" s="405">
        <f t="shared" ref="K7:K36" si="4">C7*$L$3</f>
        <v>1535.25</v>
      </c>
      <c r="L7" s="406">
        <f t="shared" si="2"/>
        <v>12450.05</v>
      </c>
      <c r="M7" s="398">
        <f t="shared" si="3"/>
        <v>1.9576611252149642E-2</v>
      </c>
    </row>
    <row r="8" spans="1:13" s="399" customFormat="1" x14ac:dyDescent="0.2">
      <c r="A8" s="400" t="s">
        <v>222</v>
      </c>
      <c r="B8" s="388">
        <v>2781</v>
      </c>
      <c r="C8" s="389">
        <v>319</v>
      </c>
      <c r="D8" s="390">
        <v>558</v>
      </c>
      <c r="E8" s="390">
        <v>1146</v>
      </c>
      <c r="F8" s="401">
        <v>584</v>
      </c>
      <c r="G8" s="402">
        <v>105</v>
      </c>
      <c r="H8" s="403">
        <f t="shared" ref="H8:H35" si="5">SUM(D8:F8)-G8</f>
        <v>2183</v>
      </c>
      <c r="I8" s="398">
        <f t="shared" si="0"/>
        <v>1.1407817725752509E-2</v>
      </c>
      <c r="J8" s="404">
        <f t="shared" si="1"/>
        <v>218.3</v>
      </c>
      <c r="K8" s="405">
        <f t="shared" si="4"/>
        <v>239.25</v>
      </c>
      <c r="L8" s="406">
        <f t="shared" si="2"/>
        <v>2919.55</v>
      </c>
      <c r="M8" s="398">
        <f t="shared" si="3"/>
        <v>4.9820208558072704E-2</v>
      </c>
    </row>
    <row r="9" spans="1:13" s="399" customFormat="1" x14ac:dyDescent="0.2">
      <c r="A9" s="400" t="s">
        <v>7</v>
      </c>
      <c r="B9" s="388">
        <v>5499</v>
      </c>
      <c r="C9" s="389">
        <v>1734</v>
      </c>
      <c r="D9" s="390">
        <v>960</v>
      </c>
      <c r="E9" s="390">
        <v>1562</v>
      </c>
      <c r="F9" s="401">
        <v>569</v>
      </c>
      <c r="G9" s="402">
        <v>275</v>
      </c>
      <c r="H9" s="403">
        <f t="shared" si="5"/>
        <v>2816</v>
      </c>
      <c r="I9" s="398">
        <f t="shared" si="0"/>
        <v>1.471571906354515E-2</v>
      </c>
      <c r="J9" s="404">
        <f t="shared" si="1"/>
        <v>281.60000000000002</v>
      </c>
      <c r="K9" s="405">
        <f t="shared" si="4"/>
        <v>1300.5</v>
      </c>
      <c r="L9" s="406">
        <f t="shared" si="2"/>
        <v>5347.1</v>
      </c>
      <c r="M9" s="398">
        <f t="shared" si="3"/>
        <v>-2.7623204218948833E-2</v>
      </c>
    </row>
    <row r="10" spans="1:13" s="399" customFormat="1" x14ac:dyDescent="0.2">
      <c r="A10" s="400" t="s">
        <v>9</v>
      </c>
      <c r="B10" s="388">
        <v>12395</v>
      </c>
      <c r="C10" s="389">
        <v>249</v>
      </c>
      <c r="D10" s="390">
        <v>2936</v>
      </c>
      <c r="E10" s="390">
        <v>5431</v>
      </c>
      <c r="F10" s="401">
        <v>4766</v>
      </c>
      <c r="G10" s="402">
        <v>52</v>
      </c>
      <c r="H10" s="403">
        <f t="shared" si="5"/>
        <v>13081</v>
      </c>
      <c r="I10" s="398">
        <f t="shared" si="0"/>
        <v>6.8358068561872903E-2</v>
      </c>
      <c r="J10" s="404">
        <f t="shared" si="1"/>
        <v>1308.1000000000001</v>
      </c>
      <c r="K10" s="405">
        <f t="shared" si="4"/>
        <v>186.75</v>
      </c>
      <c r="L10" s="406">
        <f t="shared" si="2"/>
        <v>13640.85</v>
      </c>
      <c r="M10" s="398">
        <f t="shared" si="3"/>
        <v>0.10051230334812428</v>
      </c>
    </row>
    <row r="11" spans="1:13" s="399" customFormat="1" x14ac:dyDescent="0.2">
      <c r="A11" s="400" t="s">
        <v>223</v>
      </c>
      <c r="B11" s="388">
        <v>4171</v>
      </c>
      <c r="C11" s="389"/>
      <c r="D11" s="390">
        <v>766</v>
      </c>
      <c r="E11" s="390">
        <v>1257</v>
      </c>
      <c r="F11" s="401">
        <v>870</v>
      </c>
      <c r="G11" s="402"/>
      <c r="H11" s="403">
        <f t="shared" si="5"/>
        <v>2893</v>
      </c>
      <c r="I11" s="398">
        <f t="shared" si="0"/>
        <v>1.5118102006688963E-2</v>
      </c>
      <c r="J11" s="404">
        <f t="shared" si="1"/>
        <v>289.3</v>
      </c>
      <c r="K11" s="405">
        <f t="shared" si="4"/>
        <v>0</v>
      </c>
      <c r="L11" s="406">
        <f t="shared" si="2"/>
        <v>4460.3</v>
      </c>
      <c r="M11" s="398">
        <f t="shared" si="3"/>
        <v>6.9359865739630822E-2</v>
      </c>
    </row>
    <row r="12" spans="1:13" s="399" customFormat="1" x14ac:dyDescent="0.2">
      <c r="A12" s="400" t="s">
        <v>260</v>
      </c>
      <c r="B12" s="388">
        <v>2682</v>
      </c>
      <c r="C12" s="389">
        <v>1419</v>
      </c>
      <c r="D12" s="390">
        <v>374</v>
      </c>
      <c r="E12" s="390">
        <v>756</v>
      </c>
      <c r="F12" s="401">
        <v>602</v>
      </c>
      <c r="G12" s="402">
        <v>194</v>
      </c>
      <c r="H12" s="403">
        <f t="shared" si="5"/>
        <v>1538</v>
      </c>
      <c r="I12" s="398">
        <f t="shared" si="0"/>
        <v>8.0372073578595313E-3</v>
      </c>
      <c r="J12" s="404">
        <f t="shared" si="1"/>
        <v>153.80000000000001</v>
      </c>
      <c r="K12" s="405">
        <f t="shared" si="4"/>
        <v>1064.25</v>
      </c>
      <c r="L12" s="406">
        <f t="shared" si="2"/>
        <v>2481.0500000000002</v>
      </c>
      <c r="M12" s="398">
        <f t="shared" si="3"/>
        <v>-7.4925428784489115E-2</v>
      </c>
    </row>
    <row r="13" spans="1:13" s="399" customFormat="1" x14ac:dyDescent="0.2">
      <c r="A13" s="400" t="s">
        <v>147</v>
      </c>
      <c r="B13" s="388">
        <v>7813</v>
      </c>
      <c r="C13" s="389">
        <v>146</v>
      </c>
      <c r="D13" s="390">
        <v>2205</v>
      </c>
      <c r="E13" s="390">
        <v>3428</v>
      </c>
      <c r="F13" s="401">
        <v>3352</v>
      </c>
      <c r="G13" s="402">
        <v>43</v>
      </c>
      <c r="H13" s="403">
        <f t="shared" si="5"/>
        <v>8942</v>
      </c>
      <c r="I13" s="398">
        <f t="shared" si="0"/>
        <v>4.6728678929765885E-2</v>
      </c>
      <c r="J13" s="404">
        <f t="shared" si="1"/>
        <v>894.2</v>
      </c>
      <c r="K13" s="405">
        <f t="shared" si="4"/>
        <v>109.5</v>
      </c>
      <c r="L13" s="406">
        <f t="shared" si="2"/>
        <v>8670.7000000000007</v>
      </c>
      <c r="M13" s="398">
        <f t="shared" si="3"/>
        <v>0.10977857417125313</v>
      </c>
    </row>
    <row r="14" spans="1:13" s="399" customFormat="1" x14ac:dyDescent="0.2">
      <c r="A14" s="400" t="s">
        <v>225</v>
      </c>
      <c r="B14" s="388">
        <v>8093</v>
      </c>
      <c r="C14" s="389">
        <v>473</v>
      </c>
      <c r="D14" s="390">
        <v>1549</v>
      </c>
      <c r="E14" s="390">
        <v>2452</v>
      </c>
      <c r="F14" s="401">
        <v>2515</v>
      </c>
      <c r="G14" s="402">
        <v>174</v>
      </c>
      <c r="H14" s="403">
        <f t="shared" si="5"/>
        <v>6342</v>
      </c>
      <c r="I14" s="398">
        <f t="shared" si="0"/>
        <v>3.3141722408026757E-2</v>
      </c>
      <c r="J14" s="404">
        <f t="shared" si="1"/>
        <v>634.20000000000005</v>
      </c>
      <c r="K14" s="405">
        <f t="shared" si="4"/>
        <v>354.75</v>
      </c>
      <c r="L14" s="406">
        <f t="shared" si="2"/>
        <v>8608.9500000000007</v>
      </c>
      <c r="M14" s="398">
        <f t="shared" si="3"/>
        <v>6.3752625725936082E-2</v>
      </c>
    </row>
    <row r="15" spans="1:13" s="399" customFormat="1" x14ac:dyDescent="0.2">
      <c r="A15" s="400" t="s">
        <v>17</v>
      </c>
      <c r="B15" s="388">
        <v>8118</v>
      </c>
      <c r="C15" s="389">
        <v>1489</v>
      </c>
      <c r="D15" s="390">
        <v>1126</v>
      </c>
      <c r="E15" s="390">
        <v>2133</v>
      </c>
      <c r="F15" s="401">
        <v>946</v>
      </c>
      <c r="G15" s="402">
        <v>194</v>
      </c>
      <c r="H15" s="403">
        <f t="shared" si="5"/>
        <v>4011</v>
      </c>
      <c r="I15" s="398">
        <f t="shared" si="0"/>
        <v>2.096049331103679E-2</v>
      </c>
      <c r="J15" s="404">
        <f t="shared" si="1"/>
        <v>401.1</v>
      </c>
      <c r="K15" s="405">
        <f t="shared" si="4"/>
        <v>1116.75</v>
      </c>
      <c r="L15" s="406">
        <f t="shared" si="2"/>
        <v>8146.85</v>
      </c>
      <c r="M15" s="398">
        <f t="shared" si="3"/>
        <v>3.5538309928554281E-3</v>
      </c>
    </row>
    <row r="16" spans="1:13" s="399" customFormat="1" x14ac:dyDescent="0.2">
      <c r="A16" s="400" t="s">
        <v>226</v>
      </c>
      <c r="B16" s="388">
        <v>12255</v>
      </c>
      <c r="C16" s="389">
        <v>270</v>
      </c>
      <c r="D16" s="390">
        <v>3272</v>
      </c>
      <c r="E16" s="390">
        <v>6110</v>
      </c>
      <c r="F16" s="401">
        <v>6815</v>
      </c>
      <c r="G16" s="402">
        <v>129</v>
      </c>
      <c r="H16" s="403">
        <f t="shared" si="5"/>
        <v>16068</v>
      </c>
      <c r="I16" s="398">
        <f t="shared" si="0"/>
        <v>8.3967391304347827E-2</v>
      </c>
      <c r="J16" s="404">
        <f t="shared" si="1"/>
        <v>1606.8000000000002</v>
      </c>
      <c r="K16" s="405">
        <f t="shared" si="4"/>
        <v>202.5</v>
      </c>
      <c r="L16" s="406">
        <f t="shared" si="2"/>
        <v>13794.3</v>
      </c>
      <c r="M16" s="398">
        <f t="shared" si="3"/>
        <v>0.12560587515299873</v>
      </c>
    </row>
    <row r="17" spans="1:13" s="399" customFormat="1" x14ac:dyDescent="0.2">
      <c r="A17" s="400" t="s">
        <v>227</v>
      </c>
      <c r="B17" s="388">
        <v>2779</v>
      </c>
      <c r="C17" s="389">
        <v>318</v>
      </c>
      <c r="D17" s="390">
        <v>594</v>
      </c>
      <c r="E17" s="390">
        <v>964</v>
      </c>
      <c r="F17" s="401">
        <v>394</v>
      </c>
      <c r="G17" s="402">
        <v>59</v>
      </c>
      <c r="H17" s="403">
        <f t="shared" si="5"/>
        <v>1893</v>
      </c>
      <c r="I17" s="398">
        <f t="shared" si="0"/>
        <v>9.8923494983277592E-3</v>
      </c>
      <c r="J17" s="404">
        <f t="shared" si="1"/>
        <v>189.3</v>
      </c>
      <c r="K17" s="405">
        <f t="shared" si="4"/>
        <v>238.5</v>
      </c>
      <c r="L17" s="406">
        <f t="shared" si="2"/>
        <v>2888.8</v>
      </c>
      <c r="M17" s="398">
        <f t="shared" si="3"/>
        <v>3.9510615329255191E-2</v>
      </c>
    </row>
    <row r="18" spans="1:13" s="399" customFormat="1" x14ac:dyDescent="0.2">
      <c r="A18" s="400" t="s">
        <v>228</v>
      </c>
      <c r="B18" s="388">
        <v>8422</v>
      </c>
      <c r="C18" s="389">
        <v>1732</v>
      </c>
      <c r="D18" s="390">
        <v>1455</v>
      </c>
      <c r="E18" s="390">
        <v>3063</v>
      </c>
      <c r="F18" s="401">
        <v>1372</v>
      </c>
      <c r="G18" s="402">
        <v>182</v>
      </c>
      <c r="H18" s="403">
        <f t="shared" si="5"/>
        <v>5708</v>
      </c>
      <c r="I18" s="398">
        <f t="shared" si="0"/>
        <v>2.9828595317725751E-2</v>
      </c>
      <c r="J18" s="404">
        <f t="shared" si="1"/>
        <v>570.80000000000007</v>
      </c>
      <c r="K18" s="405">
        <f t="shared" si="4"/>
        <v>1299</v>
      </c>
      <c r="L18" s="406">
        <f t="shared" si="2"/>
        <v>8559.7999999999993</v>
      </c>
      <c r="M18" s="398">
        <f t="shared" si="3"/>
        <v>1.6361909285205329E-2</v>
      </c>
    </row>
    <row r="19" spans="1:13" s="399" customFormat="1" x14ac:dyDescent="0.2">
      <c r="A19" s="400" t="s">
        <v>262</v>
      </c>
      <c r="B19" s="388">
        <v>4707</v>
      </c>
      <c r="C19" s="389">
        <v>413</v>
      </c>
      <c r="D19" s="390">
        <v>1003</v>
      </c>
      <c r="E19" s="390">
        <v>1297</v>
      </c>
      <c r="F19" s="401">
        <v>823</v>
      </c>
      <c r="G19" s="402">
        <v>97</v>
      </c>
      <c r="H19" s="403">
        <f t="shared" si="5"/>
        <v>3026</v>
      </c>
      <c r="I19" s="398">
        <f t="shared" si="0"/>
        <v>1.5813127090301003E-2</v>
      </c>
      <c r="J19" s="404">
        <f t="shared" si="1"/>
        <v>302.60000000000002</v>
      </c>
      <c r="K19" s="405">
        <f t="shared" si="4"/>
        <v>309.75</v>
      </c>
      <c r="L19" s="406">
        <f t="shared" si="2"/>
        <v>4906.3500000000004</v>
      </c>
      <c r="M19" s="398">
        <f t="shared" si="3"/>
        <v>4.2351816443594724E-2</v>
      </c>
    </row>
    <row r="20" spans="1:13" s="399" customFormat="1" x14ac:dyDescent="0.2">
      <c r="A20" s="400" t="s">
        <v>137</v>
      </c>
      <c r="B20" s="388">
        <v>14632</v>
      </c>
      <c r="C20" s="389">
        <v>421</v>
      </c>
      <c r="D20" s="390">
        <v>2787</v>
      </c>
      <c r="E20" s="390">
        <v>4354</v>
      </c>
      <c r="F20" s="401">
        <v>5047</v>
      </c>
      <c r="G20" s="402">
        <v>261</v>
      </c>
      <c r="H20" s="403">
        <f t="shared" si="5"/>
        <v>11927</v>
      </c>
      <c r="I20" s="398">
        <f t="shared" si="0"/>
        <v>6.2327550167224077E-2</v>
      </c>
      <c r="J20" s="404">
        <f t="shared" si="1"/>
        <v>1192.7</v>
      </c>
      <c r="K20" s="405">
        <f t="shared" si="4"/>
        <v>315.75</v>
      </c>
      <c r="L20" s="406">
        <f t="shared" si="2"/>
        <v>15719.45</v>
      </c>
      <c r="M20" s="398">
        <f t="shared" si="3"/>
        <v>7.4319983597594369E-2</v>
      </c>
    </row>
    <row r="21" spans="1:13" s="399" customFormat="1" x14ac:dyDescent="0.2">
      <c r="A21" s="407" t="s">
        <v>138</v>
      </c>
      <c r="B21" s="388">
        <v>10424</v>
      </c>
      <c r="C21" s="389">
        <v>591</v>
      </c>
      <c r="D21" s="390">
        <v>2515</v>
      </c>
      <c r="E21" s="390">
        <v>4269</v>
      </c>
      <c r="F21" s="401">
        <v>4794</v>
      </c>
      <c r="G21" s="402">
        <v>236</v>
      </c>
      <c r="H21" s="403">
        <f t="shared" si="5"/>
        <v>11342</v>
      </c>
      <c r="I21" s="398">
        <f t="shared" si="0"/>
        <v>5.9270484949832773E-2</v>
      </c>
      <c r="J21" s="404">
        <f t="shared" si="1"/>
        <v>1134.2</v>
      </c>
      <c r="K21" s="405">
        <f t="shared" si="4"/>
        <v>443.25</v>
      </c>
      <c r="L21" s="406">
        <f t="shared" si="2"/>
        <v>11410.45</v>
      </c>
      <c r="M21" s="398">
        <f t="shared" si="3"/>
        <v>9.4632578664620173E-2</v>
      </c>
    </row>
    <row r="22" spans="1:13" s="399" customFormat="1" x14ac:dyDescent="0.2">
      <c r="A22" s="408" t="s">
        <v>63</v>
      </c>
      <c r="B22" s="409">
        <v>6488</v>
      </c>
      <c r="C22" s="410">
        <v>1290</v>
      </c>
      <c r="D22" s="411">
        <v>1120</v>
      </c>
      <c r="E22" s="411">
        <v>2463</v>
      </c>
      <c r="F22" s="411">
        <v>943</v>
      </c>
      <c r="G22" s="410">
        <v>211</v>
      </c>
      <c r="H22" s="412">
        <f t="shared" si="5"/>
        <v>4315</v>
      </c>
      <c r="I22" s="413">
        <f t="shared" ref="I22" si="6">SUM(I23:I27)</f>
        <v>2.2549122073578596E-2</v>
      </c>
      <c r="J22" s="414">
        <f t="shared" si="1"/>
        <v>431.5</v>
      </c>
      <c r="K22" s="415">
        <f t="shared" si="4"/>
        <v>967.5</v>
      </c>
      <c r="L22" s="416">
        <f t="shared" si="2"/>
        <v>6597</v>
      </c>
      <c r="M22" s="398">
        <f t="shared" si="3"/>
        <v>1.6800246609124537E-2</v>
      </c>
    </row>
    <row r="23" spans="1:13" s="399" customFormat="1" x14ac:dyDescent="0.2">
      <c r="A23" s="417" t="s">
        <v>263</v>
      </c>
      <c r="B23" s="388">
        <v>1733</v>
      </c>
      <c r="C23" s="389">
        <v>183</v>
      </c>
      <c r="D23" s="390">
        <v>325</v>
      </c>
      <c r="E23" s="390">
        <v>788</v>
      </c>
      <c r="F23" s="401">
        <v>205</v>
      </c>
      <c r="G23" s="402">
        <v>20</v>
      </c>
      <c r="H23" s="403">
        <f t="shared" si="5"/>
        <v>1298</v>
      </c>
      <c r="I23" s="398">
        <f t="shared" ref="I23:I36" si="7">H23/H$48</f>
        <v>6.7830267558528431E-3</v>
      </c>
      <c r="J23" s="404">
        <f t="shared" si="1"/>
        <v>129.80000000000001</v>
      </c>
      <c r="K23" s="405">
        <f t="shared" si="4"/>
        <v>137.25</v>
      </c>
      <c r="L23" s="406">
        <f t="shared" si="2"/>
        <v>1817.05</v>
      </c>
      <c r="M23" s="398">
        <f t="shared" si="3"/>
        <v>4.8499711482977471E-2</v>
      </c>
    </row>
    <row r="24" spans="1:13" s="399" customFormat="1" x14ac:dyDescent="0.2">
      <c r="A24" s="417" t="s">
        <v>264</v>
      </c>
      <c r="B24" s="388">
        <v>1630</v>
      </c>
      <c r="C24" s="389">
        <v>176</v>
      </c>
      <c r="D24" s="390">
        <v>311</v>
      </c>
      <c r="E24" s="390">
        <v>626</v>
      </c>
      <c r="F24" s="401">
        <v>262</v>
      </c>
      <c r="G24" s="402">
        <v>56</v>
      </c>
      <c r="H24" s="403">
        <f t="shared" si="5"/>
        <v>1143</v>
      </c>
      <c r="I24" s="398">
        <f t="shared" si="7"/>
        <v>5.9730351170568562E-3</v>
      </c>
      <c r="J24" s="404">
        <f t="shared" si="1"/>
        <v>114.30000000000001</v>
      </c>
      <c r="K24" s="405">
        <f t="shared" si="4"/>
        <v>132</v>
      </c>
      <c r="L24" s="406">
        <f t="shared" si="2"/>
        <v>1700.3</v>
      </c>
      <c r="M24" s="398">
        <f t="shared" si="3"/>
        <v>4.3128834355828191E-2</v>
      </c>
    </row>
    <row r="25" spans="1:13" s="399" customFormat="1" x14ac:dyDescent="0.2">
      <c r="A25" s="417" t="s">
        <v>265</v>
      </c>
      <c r="B25" s="388">
        <v>1882</v>
      </c>
      <c r="C25" s="389">
        <v>547</v>
      </c>
      <c r="D25" s="390">
        <v>289</v>
      </c>
      <c r="E25" s="390">
        <v>638</v>
      </c>
      <c r="F25" s="401">
        <v>270</v>
      </c>
      <c r="G25" s="402">
        <v>76</v>
      </c>
      <c r="H25" s="403">
        <f t="shared" si="5"/>
        <v>1121</v>
      </c>
      <c r="I25" s="398">
        <f t="shared" si="7"/>
        <v>5.8580685618729094E-3</v>
      </c>
      <c r="J25" s="404">
        <f t="shared" si="1"/>
        <v>112.10000000000001</v>
      </c>
      <c r="K25" s="405">
        <f t="shared" si="4"/>
        <v>410.25</v>
      </c>
      <c r="L25" s="406">
        <f t="shared" si="2"/>
        <v>1857.35</v>
      </c>
      <c r="M25" s="398">
        <f t="shared" si="3"/>
        <v>-1.3097768331562216E-2</v>
      </c>
    </row>
    <row r="26" spans="1:13" s="399" customFormat="1" x14ac:dyDescent="0.2">
      <c r="A26" s="417" t="s">
        <v>266</v>
      </c>
      <c r="B26" s="388">
        <v>441</v>
      </c>
      <c r="C26" s="389">
        <v>99</v>
      </c>
      <c r="D26" s="390">
        <v>82</v>
      </c>
      <c r="E26" s="390">
        <v>166</v>
      </c>
      <c r="F26" s="401">
        <v>95</v>
      </c>
      <c r="G26" s="402">
        <v>24</v>
      </c>
      <c r="H26" s="403">
        <f t="shared" si="5"/>
        <v>319</v>
      </c>
      <c r="I26" s="398">
        <f t="shared" si="7"/>
        <v>1.6670150501672241E-3</v>
      </c>
      <c r="J26" s="404">
        <f t="shared" si="1"/>
        <v>31.900000000000002</v>
      </c>
      <c r="K26" s="405">
        <f t="shared" si="4"/>
        <v>74.25</v>
      </c>
      <c r="L26" s="406">
        <f t="shared" si="2"/>
        <v>448.15</v>
      </c>
      <c r="M26" s="398">
        <f t="shared" si="3"/>
        <v>1.6213151927437591E-2</v>
      </c>
    </row>
    <row r="27" spans="1:13" s="399" customFormat="1" x14ac:dyDescent="0.2">
      <c r="A27" s="417" t="s">
        <v>267</v>
      </c>
      <c r="B27" s="388">
        <v>802</v>
      </c>
      <c r="C27" s="389">
        <v>285</v>
      </c>
      <c r="D27" s="390">
        <v>113</v>
      </c>
      <c r="E27" s="390">
        <v>245</v>
      </c>
      <c r="F27" s="401">
        <v>111</v>
      </c>
      <c r="G27" s="402">
        <v>35</v>
      </c>
      <c r="H27" s="403">
        <f t="shared" si="5"/>
        <v>434</v>
      </c>
      <c r="I27" s="398">
        <f t="shared" si="7"/>
        <v>2.2679765886287626E-3</v>
      </c>
      <c r="J27" s="404">
        <f t="shared" si="1"/>
        <v>43.400000000000006</v>
      </c>
      <c r="K27" s="405">
        <f t="shared" si="4"/>
        <v>213.75</v>
      </c>
      <c r="L27" s="406">
        <f t="shared" si="2"/>
        <v>774.15</v>
      </c>
      <c r="M27" s="398">
        <f t="shared" si="3"/>
        <v>-3.4725685785536191E-2</v>
      </c>
    </row>
    <row r="28" spans="1:13" s="399" customFormat="1" x14ac:dyDescent="0.2">
      <c r="A28" s="400" t="s">
        <v>268</v>
      </c>
      <c r="B28" s="388">
        <v>4936</v>
      </c>
      <c r="C28" s="389">
        <v>420</v>
      </c>
      <c r="D28" s="390">
        <v>961</v>
      </c>
      <c r="E28" s="390">
        <v>1488</v>
      </c>
      <c r="F28" s="401">
        <v>900</v>
      </c>
      <c r="G28" s="402">
        <v>60</v>
      </c>
      <c r="H28" s="403">
        <f t="shared" si="5"/>
        <v>3289</v>
      </c>
      <c r="I28" s="398">
        <f t="shared" si="7"/>
        <v>1.7187500000000001E-2</v>
      </c>
      <c r="J28" s="404">
        <f t="shared" si="1"/>
        <v>328.90000000000003</v>
      </c>
      <c r="K28" s="405">
        <f t="shared" si="4"/>
        <v>315</v>
      </c>
      <c r="L28" s="406">
        <f t="shared" si="2"/>
        <v>5159.8999999999996</v>
      </c>
      <c r="M28" s="398">
        <f t="shared" si="3"/>
        <v>4.5360615883306248E-2</v>
      </c>
    </row>
    <row r="29" spans="1:13" s="399" customFormat="1" x14ac:dyDescent="0.2">
      <c r="A29" s="400" t="s">
        <v>236</v>
      </c>
      <c r="B29" s="388">
        <v>2011</v>
      </c>
      <c r="C29" s="389">
        <v>12</v>
      </c>
      <c r="D29" s="390">
        <v>399</v>
      </c>
      <c r="E29" s="390">
        <v>592</v>
      </c>
      <c r="F29" s="401">
        <v>378</v>
      </c>
      <c r="G29" s="402">
        <v>4</v>
      </c>
      <c r="H29" s="403">
        <f t="shared" si="5"/>
        <v>1365</v>
      </c>
      <c r="I29" s="398">
        <f t="shared" si="7"/>
        <v>7.1331521739130431E-3</v>
      </c>
      <c r="J29" s="404">
        <f t="shared" si="1"/>
        <v>136.5</v>
      </c>
      <c r="K29" s="405">
        <f t="shared" si="4"/>
        <v>9</v>
      </c>
      <c r="L29" s="406">
        <f t="shared" si="2"/>
        <v>2144.5</v>
      </c>
      <c r="M29" s="398">
        <f t="shared" si="3"/>
        <v>6.6384883142715068E-2</v>
      </c>
    </row>
    <row r="30" spans="1:13" s="399" customFormat="1" x14ac:dyDescent="0.2">
      <c r="A30" s="400" t="s">
        <v>237</v>
      </c>
      <c r="B30" s="388">
        <v>2547</v>
      </c>
      <c r="C30" s="389">
        <v>1158</v>
      </c>
      <c r="D30" s="390">
        <v>471</v>
      </c>
      <c r="E30" s="390">
        <v>564</v>
      </c>
      <c r="F30" s="401">
        <v>309</v>
      </c>
      <c r="G30" s="402">
        <v>194</v>
      </c>
      <c r="H30" s="403">
        <f t="shared" si="5"/>
        <v>1150</v>
      </c>
      <c r="I30" s="398">
        <f t="shared" si="7"/>
        <v>6.0096153846153849E-3</v>
      </c>
      <c r="J30" s="404">
        <f t="shared" si="1"/>
        <v>115</v>
      </c>
      <c r="K30" s="405">
        <f t="shared" si="4"/>
        <v>868.5</v>
      </c>
      <c r="L30" s="406">
        <f t="shared" si="2"/>
        <v>2372.5</v>
      </c>
      <c r="M30" s="398">
        <f t="shared" si="3"/>
        <v>-6.8511974872398906E-2</v>
      </c>
    </row>
    <row r="31" spans="1:13" s="399" customFormat="1" x14ac:dyDescent="0.2">
      <c r="A31" s="400" t="s">
        <v>36</v>
      </c>
      <c r="B31" s="388">
        <v>4979</v>
      </c>
      <c r="C31" s="389">
        <v>117</v>
      </c>
      <c r="D31" s="390">
        <v>1060</v>
      </c>
      <c r="E31" s="390">
        <v>1740</v>
      </c>
      <c r="F31" s="401">
        <v>694</v>
      </c>
      <c r="G31" s="402">
        <v>18</v>
      </c>
      <c r="H31" s="403">
        <f t="shared" si="5"/>
        <v>3476</v>
      </c>
      <c r="I31" s="398">
        <f t="shared" si="7"/>
        <v>1.8164715719063546E-2</v>
      </c>
      <c r="J31" s="404">
        <f t="shared" si="1"/>
        <v>347.6</v>
      </c>
      <c r="K31" s="405">
        <f t="shared" si="4"/>
        <v>87.75</v>
      </c>
      <c r="L31" s="406">
        <f t="shared" si="2"/>
        <v>5297.35</v>
      </c>
      <c r="M31" s="398">
        <f t="shared" si="3"/>
        <v>6.393854187587876E-2</v>
      </c>
    </row>
    <row r="32" spans="1:13" s="399" customFormat="1" x14ac:dyDescent="0.2">
      <c r="A32" s="400" t="s">
        <v>136</v>
      </c>
      <c r="B32" s="388">
        <v>4138</v>
      </c>
      <c r="C32" s="389">
        <v>478</v>
      </c>
      <c r="D32" s="390">
        <v>972</v>
      </c>
      <c r="E32" s="390">
        <v>1352</v>
      </c>
      <c r="F32" s="401">
        <v>798</v>
      </c>
      <c r="G32" s="402">
        <v>98</v>
      </c>
      <c r="H32" s="403">
        <f t="shared" si="5"/>
        <v>3024</v>
      </c>
      <c r="I32" s="398">
        <f t="shared" si="7"/>
        <v>1.5802675585284282E-2</v>
      </c>
      <c r="J32" s="404">
        <f t="shared" si="1"/>
        <v>302.40000000000003</v>
      </c>
      <c r="K32" s="405">
        <f t="shared" si="4"/>
        <v>358.5</v>
      </c>
      <c r="L32" s="406">
        <f t="shared" si="2"/>
        <v>4320.8999999999996</v>
      </c>
      <c r="M32" s="398">
        <f t="shared" si="3"/>
        <v>4.4200096665055491E-2</v>
      </c>
    </row>
    <row r="33" spans="1:20" s="399" customFormat="1" x14ac:dyDescent="0.2">
      <c r="A33" s="400" t="s">
        <v>238</v>
      </c>
      <c r="B33" s="388">
        <v>7515</v>
      </c>
      <c r="C33" s="389">
        <v>33</v>
      </c>
      <c r="D33" s="390">
        <v>1637</v>
      </c>
      <c r="E33" s="390">
        <v>2975</v>
      </c>
      <c r="F33" s="401">
        <v>1782</v>
      </c>
      <c r="G33" s="402">
        <v>5</v>
      </c>
      <c r="H33" s="403">
        <f t="shared" si="5"/>
        <v>6389</v>
      </c>
      <c r="I33" s="398">
        <f t="shared" si="7"/>
        <v>3.338733277591973E-2</v>
      </c>
      <c r="J33" s="404">
        <f t="shared" si="1"/>
        <v>638.90000000000009</v>
      </c>
      <c r="K33" s="405">
        <f t="shared" si="4"/>
        <v>24.75</v>
      </c>
      <c r="L33" s="406">
        <f t="shared" si="2"/>
        <v>8145.65</v>
      </c>
      <c r="M33" s="398">
        <f t="shared" si="3"/>
        <v>8.3918829008649318E-2</v>
      </c>
    </row>
    <row r="34" spans="1:20" s="399" customFormat="1" ht="12.75" customHeight="1" x14ac:dyDescent="0.2">
      <c r="A34" s="387" t="s">
        <v>239</v>
      </c>
      <c r="B34" s="388">
        <v>6336</v>
      </c>
      <c r="C34" s="389">
        <v>198</v>
      </c>
      <c r="D34" s="390">
        <v>1631</v>
      </c>
      <c r="E34" s="390">
        <v>2700</v>
      </c>
      <c r="F34" s="401">
        <v>1225</v>
      </c>
      <c r="G34" s="402">
        <v>62</v>
      </c>
      <c r="H34" s="403">
        <f t="shared" si="5"/>
        <v>5494</v>
      </c>
      <c r="I34" s="398">
        <f t="shared" si="7"/>
        <v>2.8710284280936454E-2</v>
      </c>
      <c r="J34" s="404">
        <f t="shared" si="1"/>
        <v>549.4</v>
      </c>
      <c r="K34" s="405">
        <f t="shared" si="4"/>
        <v>148.5</v>
      </c>
      <c r="L34" s="406">
        <f t="shared" si="2"/>
        <v>6835.9</v>
      </c>
      <c r="M34" s="398">
        <f t="shared" si="3"/>
        <v>7.889835858585853E-2</v>
      </c>
    </row>
    <row r="35" spans="1:20" s="399" customFormat="1" x14ac:dyDescent="0.2">
      <c r="A35" s="400" t="s">
        <v>70</v>
      </c>
      <c r="B35" s="388">
        <v>9452</v>
      </c>
      <c r="C35" s="389">
        <v>89</v>
      </c>
      <c r="D35" s="390">
        <v>2961</v>
      </c>
      <c r="E35" s="390">
        <v>5004</v>
      </c>
      <c r="F35" s="401">
        <v>5776</v>
      </c>
      <c r="G35" s="402">
        <v>82</v>
      </c>
      <c r="H35" s="403">
        <f t="shared" si="5"/>
        <v>13659</v>
      </c>
      <c r="I35" s="398">
        <f t="shared" si="7"/>
        <v>7.1378553511705689E-2</v>
      </c>
      <c r="J35" s="404">
        <f t="shared" si="1"/>
        <v>1365.9</v>
      </c>
      <c r="K35" s="405">
        <f t="shared" si="4"/>
        <v>66.75</v>
      </c>
      <c r="L35" s="406">
        <f t="shared" si="2"/>
        <v>10795.65</v>
      </c>
      <c r="M35" s="398">
        <f t="shared" si="3"/>
        <v>0.14215509944985186</v>
      </c>
    </row>
    <row r="36" spans="1:20" s="399" customFormat="1" ht="13.5" thickBot="1" x14ac:dyDescent="0.25">
      <c r="A36" s="418" t="s">
        <v>122</v>
      </c>
      <c r="B36" s="388">
        <v>4762</v>
      </c>
      <c r="C36" s="389">
        <v>86</v>
      </c>
      <c r="D36" s="390">
        <v>1071</v>
      </c>
      <c r="E36" s="390">
        <v>1708</v>
      </c>
      <c r="F36" s="401">
        <v>856</v>
      </c>
      <c r="G36" s="402">
        <v>16</v>
      </c>
      <c r="H36" s="403">
        <f>SUM(D36:F36)-G36</f>
        <v>3619</v>
      </c>
      <c r="I36" s="419">
        <f t="shared" si="7"/>
        <v>1.8911998327759198E-2</v>
      </c>
      <c r="J36" s="404">
        <f t="shared" si="1"/>
        <v>361.90000000000003</v>
      </c>
      <c r="K36" s="420">
        <f t="shared" si="4"/>
        <v>64.5</v>
      </c>
      <c r="L36" s="406">
        <f t="shared" si="2"/>
        <v>5102.3999999999996</v>
      </c>
      <c r="M36" s="398">
        <f t="shared" si="3"/>
        <v>7.1482570348592955E-2</v>
      </c>
    </row>
    <row r="37" spans="1:20" s="426" customFormat="1" ht="13.5" thickBot="1" x14ac:dyDescent="0.25">
      <c r="A37" s="421" t="s">
        <v>290</v>
      </c>
      <c r="B37" s="422">
        <f>SUM(B6:B22,B28:B36)</f>
        <v>174104</v>
      </c>
      <c r="C37" s="423">
        <f>SUM(C6:C22,C28:C36)</f>
        <v>15933</v>
      </c>
      <c r="D37" s="424">
        <f t="shared" ref="D37:L37" si="8">SUM(D6:D22,D28:D36)</f>
        <v>36965</v>
      </c>
      <c r="E37" s="424">
        <f t="shared" si="8"/>
        <v>63164</v>
      </c>
      <c r="F37" s="424">
        <f t="shared" si="8"/>
        <v>49957</v>
      </c>
      <c r="G37" s="423">
        <f t="shared" si="8"/>
        <v>3288</v>
      </c>
      <c r="H37" s="424">
        <f t="shared" si="8"/>
        <v>146798</v>
      </c>
      <c r="I37" s="425">
        <f>SUM(I6:I22,I28:I36)</f>
        <v>0.76713001672240821</v>
      </c>
      <c r="J37" s="422">
        <f t="shared" si="8"/>
        <v>14679.800000000001</v>
      </c>
      <c r="K37" s="423">
        <f t="shared" si="8"/>
        <v>11949.75</v>
      </c>
      <c r="L37" s="422">
        <f t="shared" si="8"/>
        <v>184800.55</v>
      </c>
      <c r="M37" s="398">
        <f t="shared" si="3"/>
        <v>6.1437703901116504E-2</v>
      </c>
      <c r="N37" s="399"/>
      <c r="O37" s="399"/>
      <c r="P37" s="399"/>
      <c r="Q37" s="399"/>
      <c r="R37" s="399"/>
      <c r="S37" s="399"/>
      <c r="T37" s="399"/>
    </row>
    <row r="38" spans="1:20" s="399" customFormat="1" ht="13.5" thickBot="1" x14ac:dyDescent="0.25">
      <c r="A38" s="427"/>
      <c r="B38" s="428"/>
      <c r="C38" s="428"/>
      <c r="D38" s="429"/>
      <c r="E38" s="429"/>
      <c r="F38" s="429"/>
      <c r="G38" s="429"/>
      <c r="H38" s="430"/>
      <c r="I38" s="431"/>
      <c r="M38" s="431"/>
    </row>
    <row r="39" spans="1:20" s="437" customFormat="1" ht="13.5" thickBot="1" x14ac:dyDescent="0.25">
      <c r="A39" s="432" t="s">
        <v>247</v>
      </c>
      <c r="B39" s="433"/>
      <c r="C39" s="433"/>
      <c r="D39" s="434"/>
      <c r="E39" s="434"/>
      <c r="F39" s="435"/>
      <c r="G39" s="435"/>
      <c r="H39" s="436"/>
      <c r="I39" s="431"/>
      <c r="M39" s="431"/>
    </row>
    <row r="40" spans="1:20" s="399" customFormat="1" x14ac:dyDescent="0.2">
      <c r="A40" s="438" t="s">
        <v>241</v>
      </c>
      <c r="B40" s="388">
        <v>6396</v>
      </c>
      <c r="C40" s="389">
        <v>420</v>
      </c>
      <c r="D40" s="390">
        <v>857</v>
      </c>
      <c r="E40" s="390">
        <v>1901</v>
      </c>
      <c r="F40" s="439">
        <v>697</v>
      </c>
      <c r="G40" s="440">
        <v>44</v>
      </c>
      <c r="H40" s="441">
        <f t="shared" ref="H40:H46" si="9">SUM(D40:F40)-G40</f>
        <v>3411</v>
      </c>
      <c r="I40" s="394">
        <f t="shared" ref="I40:I46" si="10">H40/H$48</f>
        <v>1.7825041806020066E-2</v>
      </c>
      <c r="J40" s="404">
        <f t="shared" ref="J40:J46" si="11">H40*$M$2</f>
        <v>341.1</v>
      </c>
      <c r="K40" s="420">
        <f t="shared" ref="K40:K46" si="12">C40*$L$3</f>
        <v>315</v>
      </c>
      <c r="L40" s="406">
        <f t="shared" ref="L40:L46" si="13">(B40-C40)+J40+K40</f>
        <v>6632.1</v>
      </c>
      <c r="M40" s="398">
        <f t="shared" ref="M40:M48" si="14">(L40+-B40)/B40</f>
        <v>3.6913696060037582E-2</v>
      </c>
    </row>
    <row r="41" spans="1:20" s="399" customFormat="1" x14ac:dyDescent="0.2">
      <c r="A41" s="400" t="s">
        <v>148</v>
      </c>
      <c r="B41" s="388">
        <v>11494</v>
      </c>
      <c r="C41" s="389"/>
      <c r="D41" s="390">
        <v>2688</v>
      </c>
      <c r="E41" s="390">
        <v>4816</v>
      </c>
      <c r="F41" s="401">
        <v>4617</v>
      </c>
      <c r="G41" s="402"/>
      <c r="H41" s="403">
        <f t="shared" si="9"/>
        <v>12121</v>
      </c>
      <c r="I41" s="398">
        <f t="shared" si="10"/>
        <v>6.3341346153846151E-2</v>
      </c>
      <c r="J41" s="404">
        <f t="shared" si="11"/>
        <v>1212.1000000000001</v>
      </c>
      <c r="K41" s="420">
        <f t="shared" si="12"/>
        <v>0</v>
      </c>
      <c r="L41" s="406">
        <f t="shared" si="13"/>
        <v>12706.1</v>
      </c>
      <c r="M41" s="398">
        <f t="shared" si="14"/>
        <v>0.10545502001044026</v>
      </c>
    </row>
    <row r="42" spans="1:20" s="399" customFormat="1" x14ac:dyDescent="0.2">
      <c r="A42" s="400" t="s">
        <v>242</v>
      </c>
      <c r="B42" s="388">
        <v>18090</v>
      </c>
      <c r="C42" s="389">
        <v>908</v>
      </c>
      <c r="D42" s="390">
        <v>2456</v>
      </c>
      <c r="E42" s="390">
        <v>4319</v>
      </c>
      <c r="F42" s="401">
        <v>2628</v>
      </c>
      <c r="G42" s="402">
        <v>145</v>
      </c>
      <c r="H42" s="403">
        <f t="shared" si="9"/>
        <v>9258</v>
      </c>
      <c r="I42" s="398">
        <f t="shared" si="10"/>
        <v>4.8380016722408027E-2</v>
      </c>
      <c r="J42" s="404">
        <f t="shared" si="11"/>
        <v>925.80000000000007</v>
      </c>
      <c r="K42" s="405">
        <f t="shared" si="12"/>
        <v>681</v>
      </c>
      <c r="L42" s="406">
        <f t="shared" si="13"/>
        <v>18788.8</v>
      </c>
      <c r="M42" s="398">
        <f t="shared" si="14"/>
        <v>3.8629076838032024E-2</v>
      </c>
    </row>
    <row r="43" spans="1:20" s="399" customFormat="1" x14ac:dyDescent="0.2">
      <c r="A43" s="400" t="s">
        <v>243</v>
      </c>
      <c r="B43" s="388">
        <v>6972</v>
      </c>
      <c r="C43" s="389"/>
      <c r="D43" s="390">
        <v>808</v>
      </c>
      <c r="E43" s="390">
        <v>1810</v>
      </c>
      <c r="F43" s="401">
        <v>692</v>
      </c>
      <c r="G43" s="402"/>
      <c r="H43" s="403">
        <f t="shared" si="9"/>
        <v>3310</v>
      </c>
      <c r="I43" s="398">
        <f t="shared" si="10"/>
        <v>1.7297240802675584E-2</v>
      </c>
      <c r="J43" s="404">
        <f t="shared" si="11"/>
        <v>331</v>
      </c>
      <c r="K43" s="405">
        <f t="shared" si="12"/>
        <v>0</v>
      </c>
      <c r="L43" s="406">
        <f t="shared" si="13"/>
        <v>7303</v>
      </c>
      <c r="M43" s="398">
        <f t="shared" si="14"/>
        <v>4.7475616752725186E-2</v>
      </c>
    </row>
    <row r="44" spans="1:20" s="399" customFormat="1" x14ac:dyDescent="0.2">
      <c r="A44" s="400" t="s">
        <v>244</v>
      </c>
      <c r="B44" s="388">
        <v>18857</v>
      </c>
      <c r="C44" s="389">
        <v>3565</v>
      </c>
      <c r="D44" s="390">
        <v>2698</v>
      </c>
      <c r="E44" s="390">
        <v>4877</v>
      </c>
      <c r="F44" s="401">
        <v>3072</v>
      </c>
      <c r="G44" s="402">
        <v>584</v>
      </c>
      <c r="H44" s="403">
        <f t="shared" si="9"/>
        <v>10063</v>
      </c>
      <c r="I44" s="398">
        <f t="shared" si="10"/>
        <v>5.2586747491638795E-2</v>
      </c>
      <c r="J44" s="404">
        <f t="shared" si="11"/>
        <v>1006.3000000000001</v>
      </c>
      <c r="K44" s="405">
        <f t="shared" si="12"/>
        <v>2673.75</v>
      </c>
      <c r="L44" s="406">
        <f t="shared" si="13"/>
        <v>18972.05</v>
      </c>
      <c r="M44" s="398">
        <f t="shared" si="14"/>
        <v>6.1011825847165123E-3</v>
      </c>
    </row>
    <row r="45" spans="1:20" s="399" customFormat="1" x14ac:dyDescent="0.2">
      <c r="A45" s="400" t="s">
        <v>245</v>
      </c>
      <c r="B45" s="388">
        <v>8780</v>
      </c>
      <c r="C45" s="389">
        <v>5335</v>
      </c>
      <c r="D45" s="390">
        <v>947</v>
      </c>
      <c r="E45" s="390">
        <v>986</v>
      </c>
      <c r="F45" s="401">
        <v>809</v>
      </c>
      <c r="G45" s="402">
        <v>799</v>
      </c>
      <c r="H45" s="403">
        <f t="shared" si="9"/>
        <v>1943</v>
      </c>
      <c r="I45" s="398">
        <f t="shared" si="10"/>
        <v>1.0153637123745819E-2</v>
      </c>
      <c r="J45" s="404">
        <f t="shared" si="11"/>
        <v>194.3</v>
      </c>
      <c r="K45" s="405">
        <f t="shared" si="12"/>
        <v>4001.25</v>
      </c>
      <c r="L45" s="406">
        <f t="shared" si="13"/>
        <v>7640.55</v>
      </c>
      <c r="M45" s="398">
        <f t="shared" si="14"/>
        <v>-0.1297779043280182</v>
      </c>
    </row>
    <row r="46" spans="1:20" s="399" customFormat="1" ht="13.5" thickBot="1" x14ac:dyDescent="0.25">
      <c r="A46" s="418" t="s">
        <v>246</v>
      </c>
      <c r="B46" s="388">
        <v>9483</v>
      </c>
      <c r="C46" s="389"/>
      <c r="D46" s="390">
        <v>1166</v>
      </c>
      <c r="E46" s="390">
        <v>2339</v>
      </c>
      <c r="F46" s="401">
        <v>951</v>
      </c>
      <c r="G46" s="402"/>
      <c r="H46" s="403">
        <f t="shared" si="9"/>
        <v>4456</v>
      </c>
      <c r="I46" s="442">
        <f t="shared" si="10"/>
        <v>2.3285953177257526E-2</v>
      </c>
      <c r="J46" s="404">
        <f t="shared" si="11"/>
        <v>445.6</v>
      </c>
      <c r="K46" s="420">
        <f t="shared" si="12"/>
        <v>0</v>
      </c>
      <c r="L46" s="406">
        <f t="shared" si="13"/>
        <v>9928.6</v>
      </c>
      <c r="M46" s="398">
        <f t="shared" si="14"/>
        <v>4.6989349362016278E-2</v>
      </c>
    </row>
    <row r="47" spans="1:20" s="426" customFormat="1" ht="13.5" thickBot="1" x14ac:dyDescent="0.25">
      <c r="A47" s="421" t="s">
        <v>291</v>
      </c>
      <c r="B47" s="422">
        <f t="shared" ref="B47:K47" si="15">SUM(B40:B46)</f>
        <v>80072</v>
      </c>
      <c r="C47" s="423">
        <f t="shared" si="15"/>
        <v>10228</v>
      </c>
      <c r="D47" s="424">
        <f t="shared" si="15"/>
        <v>11620</v>
      </c>
      <c r="E47" s="424">
        <f t="shared" si="15"/>
        <v>21048</v>
      </c>
      <c r="F47" s="424">
        <f t="shared" si="15"/>
        <v>13466</v>
      </c>
      <c r="G47" s="423">
        <f t="shared" si="15"/>
        <v>1572</v>
      </c>
      <c r="H47" s="424">
        <f t="shared" si="15"/>
        <v>44562</v>
      </c>
      <c r="I47" s="425">
        <f t="shared" si="15"/>
        <v>0.23286998327759195</v>
      </c>
      <c r="J47" s="422">
        <f t="shared" si="15"/>
        <v>4456.2000000000007</v>
      </c>
      <c r="K47" s="423">
        <f t="shared" si="15"/>
        <v>7671</v>
      </c>
      <c r="L47" s="443">
        <f>SUM(L40:L46)</f>
        <v>81971.200000000012</v>
      </c>
      <c r="M47" s="398">
        <f t="shared" si="14"/>
        <v>2.3718653212109246E-2</v>
      </c>
    </row>
    <row r="48" spans="1:20" s="426" customFormat="1" ht="13.5" thickBot="1" x14ac:dyDescent="0.25">
      <c r="A48" s="444" t="s">
        <v>292</v>
      </c>
      <c r="B48" s="445">
        <f t="shared" ref="B48:L48" si="16">B37+B47</f>
        <v>254176</v>
      </c>
      <c r="C48" s="446">
        <f t="shared" si="16"/>
        <v>26161</v>
      </c>
      <c r="D48" s="447">
        <f t="shared" si="16"/>
        <v>48585</v>
      </c>
      <c r="E48" s="447">
        <f t="shared" si="16"/>
        <v>84212</v>
      </c>
      <c r="F48" s="447">
        <f t="shared" si="16"/>
        <v>63423</v>
      </c>
      <c r="G48" s="446">
        <f>G37+G47</f>
        <v>4860</v>
      </c>
      <c r="H48" s="447">
        <f t="shared" si="16"/>
        <v>191360</v>
      </c>
      <c r="I48" s="448">
        <f t="shared" si="16"/>
        <v>1.0000000000000002</v>
      </c>
      <c r="J48" s="422">
        <f t="shared" si="16"/>
        <v>19136</v>
      </c>
      <c r="K48" s="423">
        <f t="shared" si="16"/>
        <v>19620.75</v>
      </c>
      <c r="L48" s="422">
        <f t="shared" si="16"/>
        <v>266771.75</v>
      </c>
      <c r="M48" s="398">
        <f t="shared" si="14"/>
        <v>4.9555229447312096E-2</v>
      </c>
    </row>
    <row r="49" spans="1:12" ht="13.5" hidden="1" thickBot="1" x14ac:dyDescent="0.25">
      <c r="A49" s="449" t="s">
        <v>293</v>
      </c>
      <c r="B49" s="450"/>
      <c r="C49" s="451"/>
      <c r="D49" s="452"/>
      <c r="E49" s="452"/>
      <c r="F49" s="452"/>
      <c r="G49" s="452"/>
      <c r="H49" s="452"/>
      <c r="I49" s="453"/>
      <c r="J49" s="454"/>
      <c r="K49" s="455"/>
    </row>
    <row r="51" spans="1:12" x14ac:dyDescent="0.2">
      <c r="A51" s="372" t="s">
        <v>294</v>
      </c>
    </row>
    <row r="52" spans="1:12" x14ac:dyDescent="0.2">
      <c r="L52" s="457">
        <f>'[2]interactive weight updated'!I48-'Weighted differ concurrent'!L48</f>
        <v>13369.049999999988</v>
      </c>
    </row>
  </sheetData>
  <mergeCells count="2">
    <mergeCell ref="A1:I1"/>
    <mergeCell ref="A3:I3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</sheetPr>
  <dimension ref="A1:L47"/>
  <sheetViews>
    <sheetView topLeftCell="A13" zoomScale="80" workbookViewId="0"/>
  </sheetViews>
  <sheetFormatPr defaultRowHeight="15" customHeight="1" x14ac:dyDescent="0.2"/>
  <cols>
    <col min="1" max="1" width="7.28515625" style="56" customWidth="1"/>
    <col min="2" max="2" width="30.28515625" style="56" customWidth="1"/>
    <col min="3" max="3" width="10.85546875" style="56" customWidth="1"/>
    <col min="4" max="4" width="12.85546875" style="56" customWidth="1"/>
    <col min="5" max="5" width="10.7109375" style="56" customWidth="1"/>
    <col min="6" max="6" width="12.85546875" style="56" customWidth="1"/>
    <col min="7" max="7" width="14.140625" style="56" customWidth="1"/>
    <col min="8" max="8" width="14.7109375" style="109" customWidth="1"/>
    <col min="9" max="9" width="9.140625" style="56"/>
    <col min="10" max="12" width="0" style="56" hidden="1" customWidth="1"/>
    <col min="13" max="16384" width="9.140625" style="56"/>
  </cols>
  <sheetData>
    <row r="1" spans="1:12" ht="15" customHeight="1" x14ac:dyDescent="0.25">
      <c r="A1" s="108" t="s">
        <v>298</v>
      </c>
      <c r="G1" s="108"/>
    </row>
    <row r="2" spans="1:12" ht="15" customHeight="1" x14ac:dyDescent="0.2">
      <c r="A2" s="110" t="s">
        <v>109</v>
      </c>
      <c r="G2" s="110"/>
    </row>
    <row r="3" spans="1:12" ht="15" customHeight="1" x14ac:dyDescent="0.2">
      <c r="A3" s="89" t="s">
        <v>199</v>
      </c>
      <c r="G3" s="111"/>
    </row>
    <row r="4" spans="1:12" ht="12.75" x14ac:dyDescent="0.2">
      <c r="A4" s="60"/>
      <c r="B4" s="60"/>
      <c r="C4" s="60"/>
      <c r="D4" s="93"/>
      <c r="E4" s="93"/>
      <c r="F4" s="93"/>
      <c r="G4" s="112"/>
      <c r="H4" s="113"/>
    </row>
    <row r="5" spans="1:12" ht="34.5" customHeight="1" x14ac:dyDescent="0.2">
      <c r="A5" s="114"/>
      <c r="B5" s="115"/>
      <c r="C5" s="203"/>
      <c r="D5" s="495" t="s">
        <v>110</v>
      </c>
      <c r="E5" s="495" t="s">
        <v>111</v>
      </c>
      <c r="F5" s="492" t="s">
        <v>112</v>
      </c>
      <c r="G5" s="495" t="s">
        <v>124</v>
      </c>
      <c r="H5" s="495" t="s">
        <v>66</v>
      </c>
    </row>
    <row r="6" spans="1:12" ht="15.75" customHeight="1" x14ac:dyDescent="0.2">
      <c r="A6" s="116"/>
      <c r="B6" s="116"/>
      <c r="C6" s="204" t="s">
        <v>195</v>
      </c>
      <c r="D6" s="495"/>
      <c r="E6" s="495"/>
      <c r="F6" s="493"/>
      <c r="G6" s="496"/>
      <c r="H6" s="497"/>
    </row>
    <row r="7" spans="1:12" ht="15.75" customHeight="1" x14ac:dyDescent="0.2">
      <c r="A7" s="117" t="s">
        <v>0</v>
      </c>
      <c r="B7" s="117" t="s">
        <v>85</v>
      </c>
      <c r="C7" s="117" t="s">
        <v>113</v>
      </c>
      <c r="D7" s="99">
        <f>1.8+1.47</f>
        <v>3.27</v>
      </c>
      <c r="E7" s="102">
        <v>50000</v>
      </c>
      <c r="F7" s="494"/>
      <c r="G7" s="496"/>
      <c r="H7" s="498"/>
    </row>
    <row r="8" spans="1:12" s="60" customFormat="1" ht="15" customHeight="1" x14ac:dyDescent="0.2">
      <c r="B8" s="93"/>
      <c r="C8" s="93"/>
      <c r="D8" s="100"/>
      <c r="E8" s="103"/>
      <c r="F8" s="118"/>
      <c r="G8" s="119"/>
      <c r="H8" s="120"/>
      <c r="L8" s="60">
        <f>G8-I8</f>
        <v>0</v>
      </c>
    </row>
    <row r="9" spans="1:12" ht="15" customHeight="1" x14ac:dyDescent="0.2">
      <c r="A9" s="10" t="s">
        <v>2</v>
      </c>
      <c r="B9" s="123" t="s">
        <v>133</v>
      </c>
      <c r="C9" s="95">
        <v>494320</v>
      </c>
      <c r="D9" s="98">
        <f t="shared" ref="D9:D38" si="0">C9*$D$7</f>
        <v>1616426.4</v>
      </c>
      <c r="E9" s="98"/>
      <c r="F9" s="98">
        <f>D9+E9</f>
        <v>1616426.4</v>
      </c>
      <c r="G9" s="121">
        <f>'Revenue Offset'!G8</f>
        <v>0.48639221315791692</v>
      </c>
      <c r="H9" s="122">
        <f t="shared" ref="H9:H38" si="1">F9*(1-G9)</f>
        <v>830209.18589711562</v>
      </c>
      <c r="J9" s="209"/>
    </row>
    <row r="10" spans="1:12" ht="15" customHeight="1" x14ac:dyDescent="0.2">
      <c r="A10" s="10" t="s">
        <v>4</v>
      </c>
      <c r="B10" s="123" t="s">
        <v>129</v>
      </c>
      <c r="C10" s="95">
        <f>323839+113712+419337</f>
        <v>856888</v>
      </c>
      <c r="D10" s="98">
        <f t="shared" si="0"/>
        <v>2802023.7600000002</v>
      </c>
      <c r="E10" s="98">
        <v>100000</v>
      </c>
      <c r="F10" s="98">
        <f t="shared" ref="F10:F38" si="2">D10+E10</f>
        <v>2902023.7600000002</v>
      </c>
      <c r="G10" s="121">
        <f>'Revenue Offset'!G9</f>
        <v>0.54453309777645564</v>
      </c>
      <c r="H10" s="122">
        <f t="shared" si="1"/>
        <v>1321775.7721463228</v>
      </c>
      <c r="J10" s="209"/>
    </row>
    <row r="11" spans="1:12" ht="15" customHeight="1" x14ac:dyDescent="0.2">
      <c r="A11" s="10" t="s">
        <v>5</v>
      </c>
      <c r="B11" s="123" t="s">
        <v>118</v>
      </c>
      <c r="C11" s="95">
        <f>925103+97053</f>
        <v>1022156</v>
      </c>
      <c r="D11" s="98">
        <f t="shared" si="0"/>
        <v>3342450.12</v>
      </c>
      <c r="E11" s="98">
        <v>50000</v>
      </c>
      <c r="F11" s="98">
        <f t="shared" si="2"/>
        <v>3392450.12</v>
      </c>
      <c r="G11" s="121">
        <f>'Revenue Offset'!G10</f>
        <v>0.62453757853391123</v>
      </c>
      <c r="H11" s="122">
        <f t="shared" si="1"/>
        <v>1273737.5367581234</v>
      </c>
      <c r="J11" s="209"/>
    </row>
    <row r="12" spans="1:12" ht="15" customHeight="1" x14ac:dyDescent="0.2">
      <c r="A12" s="10" t="s">
        <v>6</v>
      </c>
      <c r="B12" s="123" t="s">
        <v>7</v>
      </c>
      <c r="C12" s="95">
        <f>358949+263210</f>
        <v>622159</v>
      </c>
      <c r="D12" s="98">
        <f t="shared" si="0"/>
        <v>2034459.93</v>
      </c>
      <c r="E12" s="98">
        <v>50000</v>
      </c>
      <c r="F12" s="98">
        <f t="shared" si="2"/>
        <v>2084459.93</v>
      </c>
      <c r="G12" s="121">
        <f>'Revenue Offset'!G11</f>
        <v>0.45051477858043915</v>
      </c>
      <c r="H12" s="122">
        <f t="shared" si="1"/>
        <v>1145379.9261762523</v>
      </c>
      <c r="J12" s="209"/>
    </row>
    <row r="13" spans="1:12" ht="17.25" customHeight="1" x14ac:dyDescent="0.2">
      <c r="A13" s="10" t="s">
        <v>8</v>
      </c>
      <c r="B13" s="123" t="s">
        <v>9</v>
      </c>
      <c r="C13" s="95">
        <v>739917</v>
      </c>
      <c r="D13" s="98">
        <f t="shared" si="0"/>
        <v>2419528.59</v>
      </c>
      <c r="E13" s="98"/>
      <c r="F13" s="98">
        <f t="shared" si="2"/>
        <v>2419528.59</v>
      </c>
      <c r="G13" s="121">
        <f>'Revenue Offset'!G12</f>
        <v>0.55140263148750424</v>
      </c>
      <c r="H13" s="122">
        <f t="shared" si="1"/>
        <v>1085394.1585147493</v>
      </c>
      <c r="J13" s="209"/>
    </row>
    <row r="14" spans="1:12" ht="15" customHeight="1" x14ac:dyDescent="0.2">
      <c r="A14" s="10" t="s">
        <v>10</v>
      </c>
      <c r="B14" s="123" t="s">
        <v>161</v>
      </c>
      <c r="C14" s="95">
        <f>539459+325845</f>
        <v>865304</v>
      </c>
      <c r="D14" s="98">
        <f t="shared" si="0"/>
        <v>2829544.08</v>
      </c>
      <c r="E14" s="98">
        <v>50000</v>
      </c>
      <c r="F14" s="98">
        <f t="shared" si="2"/>
        <v>2879544.08</v>
      </c>
      <c r="G14" s="121">
        <f>'Revenue Offset'!G13</f>
        <v>0.52418938559296724</v>
      </c>
      <c r="H14" s="122">
        <f t="shared" si="1"/>
        <v>1370117.637916934</v>
      </c>
      <c r="J14" s="209"/>
    </row>
    <row r="15" spans="1:12" ht="15" customHeight="1" x14ac:dyDescent="0.2">
      <c r="A15" s="10" t="s">
        <v>12</v>
      </c>
      <c r="B15" s="123" t="s">
        <v>13</v>
      </c>
      <c r="C15" s="95">
        <v>161222</v>
      </c>
      <c r="D15" s="98">
        <f t="shared" si="0"/>
        <v>527195.94000000006</v>
      </c>
      <c r="E15" s="98"/>
      <c r="F15" s="98">
        <f t="shared" si="2"/>
        <v>527195.94000000006</v>
      </c>
      <c r="G15" s="121">
        <f>'Revenue Offset'!G14</f>
        <v>0.44980615125135653</v>
      </c>
      <c r="H15" s="122">
        <f t="shared" si="1"/>
        <v>290059.963273259</v>
      </c>
      <c r="J15" s="209"/>
    </row>
    <row r="16" spans="1:12" ht="15" customHeight="1" x14ac:dyDescent="0.2">
      <c r="A16" s="10" t="s">
        <v>14</v>
      </c>
      <c r="B16" s="123" t="s">
        <v>147</v>
      </c>
      <c r="C16" s="95">
        <f>498704+415697</f>
        <v>914401</v>
      </c>
      <c r="D16" s="98">
        <f t="shared" si="0"/>
        <v>2990091.27</v>
      </c>
      <c r="E16" s="98">
        <v>50000</v>
      </c>
      <c r="F16" s="98">
        <f t="shared" si="2"/>
        <v>3040091.27</v>
      </c>
      <c r="G16" s="121">
        <f>'Revenue Offset'!G15</f>
        <v>0.46982173592688686</v>
      </c>
      <c r="H16" s="122">
        <f t="shared" si="1"/>
        <v>1611790.312152426</v>
      </c>
      <c r="J16" s="209"/>
    </row>
    <row r="17" spans="1:10" ht="15" customHeight="1" x14ac:dyDescent="0.2">
      <c r="A17" s="10" t="s">
        <v>16</v>
      </c>
      <c r="B17" s="123" t="s">
        <v>17</v>
      </c>
      <c r="C17" s="95">
        <v>399066</v>
      </c>
      <c r="D17" s="98">
        <f t="shared" si="0"/>
        <v>1304945.82</v>
      </c>
      <c r="E17" s="98"/>
      <c r="F17" s="98">
        <f t="shared" si="2"/>
        <v>1304945.82</v>
      </c>
      <c r="G17" s="121">
        <f>'Revenue Offset'!G16</f>
        <v>0.51416422428157793</v>
      </c>
      <c r="H17" s="122">
        <f t="shared" si="1"/>
        <v>633989.36473021237</v>
      </c>
      <c r="J17" s="209"/>
    </row>
    <row r="18" spans="1:10" ht="15" customHeight="1" x14ac:dyDescent="0.2">
      <c r="A18" s="10" t="s">
        <v>18</v>
      </c>
      <c r="B18" s="123" t="s">
        <v>148</v>
      </c>
      <c r="C18" s="95">
        <v>360968</v>
      </c>
      <c r="D18" s="98">
        <f t="shared" si="0"/>
        <v>1180365.3600000001</v>
      </c>
      <c r="E18" s="98"/>
      <c r="F18" s="98">
        <f t="shared" si="2"/>
        <v>1180365.3600000001</v>
      </c>
      <c r="G18" s="121">
        <f>'Revenue Offset'!G17</f>
        <v>0.62836591974304412</v>
      </c>
      <c r="H18" s="122">
        <f t="shared" si="1"/>
        <v>438663.99493077066</v>
      </c>
      <c r="J18" s="209"/>
    </row>
    <row r="19" spans="1:10" ht="15" customHeight="1" x14ac:dyDescent="0.2">
      <c r="A19" s="10" t="s">
        <v>19</v>
      </c>
      <c r="B19" s="123" t="s">
        <v>134</v>
      </c>
      <c r="C19" s="95">
        <v>1005856</v>
      </c>
      <c r="D19" s="98">
        <f t="shared" si="0"/>
        <v>3289149.12</v>
      </c>
      <c r="E19" s="98"/>
      <c r="F19" s="98">
        <f t="shared" si="2"/>
        <v>3289149.12</v>
      </c>
      <c r="G19" s="121">
        <f>'Revenue Offset'!G18</f>
        <v>0.53241164777845162</v>
      </c>
      <c r="H19" s="122">
        <f t="shared" si="1"/>
        <v>1537967.8172317559</v>
      </c>
      <c r="J19" s="209"/>
    </row>
    <row r="20" spans="1:10" ht="15" customHeight="1" x14ac:dyDescent="0.2">
      <c r="A20" s="10" t="s">
        <v>21</v>
      </c>
      <c r="B20" s="123" t="s">
        <v>203</v>
      </c>
      <c r="C20" s="95">
        <f>100743+183316</f>
        <v>284059</v>
      </c>
      <c r="D20" s="98">
        <f t="shared" si="0"/>
        <v>928872.93</v>
      </c>
      <c r="E20" s="98">
        <v>50000</v>
      </c>
      <c r="F20" s="98">
        <f t="shared" si="2"/>
        <v>978872.93</v>
      </c>
      <c r="G20" s="121">
        <f>'Revenue Offset'!G19</f>
        <v>0.4520282118181288</v>
      </c>
      <c r="H20" s="122">
        <f t="shared" si="1"/>
        <v>536394.74985492765</v>
      </c>
      <c r="J20" s="209"/>
    </row>
    <row r="21" spans="1:10" ht="15" customHeight="1" x14ac:dyDescent="0.2">
      <c r="A21" s="38" t="s">
        <v>114</v>
      </c>
      <c r="B21" s="123" t="s">
        <v>149</v>
      </c>
      <c r="C21" s="95">
        <f>196824+165849+217308+136836</f>
        <v>716817</v>
      </c>
      <c r="D21" s="98">
        <f t="shared" si="0"/>
        <v>2343991.59</v>
      </c>
      <c r="E21" s="98">
        <v>150000</v>
      </c>
      <c r="F21" s="98">
        <f t="shared" si="2"/>
        <v>2493991.59</v>
      </c>
      <c r="G21" s="121">
        <f>'Revenue Offset'!G20</f>
        <v>0.50552887215666698</v>
      </c>
      <c r="H21" s="122">
        <f t="shared" si="1"/>
        <v>1233206.8343390874</v>
      </c>
      <c r="J21" s="209"/>
    </row>
    <row r="22" spans="1:10" ht="15" customHeight="1" x14ac:dyDescent="0.2">
      <c r="A22" s="10" t="s">
        <v>26</v>
      </c>
      <c r="B22" s="123" t="s">
        <v>62</v>
      </c>
      <c r="C22" s="95">
        <v>1154542</v>
      </c>
      <c r="D22" s="98">
        <f t="shared" si="0"/>
        <v>3775352.34</v>
      </c>
      <c r="E22" s="98"/>
      <c r="F22" s="98">
        <f t="shared" si="2"/>
        <v>3775352.34</v>
      </c>
      <c r="G22" s="121">
        <f>'Revenue Offset'!G21</f>
        <v>0.57582615107919288</v>
      </c>
      <c r="H22" s="122">
        <f t="shared" si="1"/>
        <v>1601405.7330899755</v>
      </c>
      <c r="J22" s="209"/>
    </row>
    <row r="23" spans="1:10" ht="15" customHeight="1" x14ac:dyDescent="0.2">
      <c r="A23" s="10" t="s">
        <v>22</v>
      </c>
      <c r="B23" s="123" t="s">
        <v>23</v>
      </c>
      <c r="C23" s="205">
        <v>1725252</v>
      </c>
      <c r="D23" s="98">
        <f t="shared" si="0"/>
        <v>5641574.04</v>
      </c>
      <c r="E23" s="98"/>
      <c r="F23" s="98">
        <f t="shared" si="2"/>
        <v>5641574.04</v>
      </c>
      <c r="G23" s="121">
        <f>'Revenue Offset'!G22</f>
        <v>0.65067460123907328</v>
      </c>
      <c r="H23" s="122">
        <f t="shared" si="1"/>
        <v>1970745.1011622923</v>
      </c>
      <c r="J23" s="209"/>
    </row>
    <row r="24" spans="1:10" ht="15" customHeight="1" x14ac:dyDescent="0.2">
      <c r="A24" s="10" t="s">
        <v>24</v>
      </c>
      <c r="B24" s="123" t="s">
        <v>145</v>
      </c>
      <c r="C24" s="95">
        <f>82213+70182+100340+96862+169017</f>
        <v>518614</v>
      </c>
      <c r="D24" s="98">
        <f t="shared" si="0"/>
        <v>1695867.78</v>
      </c>
      <c r="E24" s="98">
        <v>200000</v>
      </c>
      <c r="F24" s="98">
        <f t="shared" si="2"/>
        <v>1895867.78</v>
      </c>
      <c r="G24" s="121">
        <f>'Revenue Offset'!G23</f>
        <v>0.46447839587742934</v>
      </c>
      <c r="H24" s="122">
        <f t="shared" si="1"/>
        <v>1015278.1547498968</v>
      </c>
      <c r="J24" s="209"/>
    </row>
    <row r="25" spans="1:10" ht="15" customHeight="1" x14ac:dyDescent="0.2">
      <c r="A25" s="10" t="s">
        <v>27</v>
      </c>
      <c r="B25" s="123" t="s">
        <v>137</v>
      </c>
      <c r="C25" s="95">
        <v>566197</v>
      </c>
      <c r="D25" s="98">
        <f t="shared" si="0"/>
        <v>1851464.19</v>
      </c>
      <c r="E25" s="98"/>
      <c r="F25" s="98">
        <f t="shared" si="2"/>
        <v>1851464.19</v>
      </c>
      <c r="G25" s="121">
        <f>'Revenue Offset'!G24</f>
        <v>0.60509441794710717</v>
      </c>
      <c r="H25" s="122">
        <f t="shared" si="1"/>
        <v>731153.54360203771</v>
      </c>
      <c r="J25" s="209"/>
    </row>
    <row r="26" spans="1:10" ht="15" customHeight="1" x14ac:dyDescent="0.2">
      <c r="A26" s="10" t="s">
        <v>29</v>
      </c>
      <c r="B26" s="123" t="s">
        <v>138</v>
      </c>
      <c r="C26" s="95">
        <v>490064</v>
      </c>
      <c r="D26" s="98">
        <f t="shared" si="0"/>
        <v>1602509.28</v>
      </c>
      <c r="E26" s="98"/>
      <c r="F26" s="98">
        <f t="shared" si="2"/>
        <v>1602509.28</v>
      </c>
      <c r="G26" s="121">
        <f>'Revenue Offset'!G25</f>
        <v>0.57956459714040864</v>
      </c>
      <c r="H26" s="122">
        <f t="shared" si="1"/>
        <v>673751.63472303364</v>
      </c>
      <c r="J26" s="209"/>
    </row>
    <row r="27" spans="1:10" ht="15" customHeight="1" x14ac:dyDescent="0.2">
      <c r="A27" s="38" t="s">
        <v>123</v>
      </c>
      <c r="B27" s="123" t="s">
        <v>63</v>
      </c>
      <c r="C27" s="206">
        <f>325314+188416+97173+132211+96361+124080</f>
        <v>963555</v>
      </c>
      <c r="D27" s="98">
        <f t="shared" si="0"/>
        <v>3150824.85</v>
      </c>
      <c r="E27" s="98">
        <v>250000</v>
      </c>
      <c r="F27" s="98">
        <f>D27+E27</f>
        <v>3400824.85</v>
      </c>
      <c r="G27" s="121">
        <f>'Revenue Offset'!G26</f>
        <v>0.465784930494264</v>
      </c>
      <c r="H27" s="122">
        <f t="shared" si="1"/>
        <v>1816771.8836195841</v>
      </c>
      <c r="J27" s="209"/>
    </row>
    <row r="28" spans="1:10" ht="15" customHeight="1" x14ac:dyDescent="0.2">
      <c r="A28" s="10" t="s">
        <v>31</v>
      </c>
      <c r="B28" s="123" t="s">
        <v>139</v>
      </c>
      <c r="C28" s="95">
        <f>171244+323533</f>
        <v>494777</v>
      </c>
      <c r="D28" s="98">
        <f t="shared" si="0"/>
        <v>1617920.79</v>
      </c>
      <c r="E28" s="98">
        <v>50000</v>
      </c>
      <c r="F28" s="98">
        <f t="shared" si="2"/>
        <v>1667920.79</v>
      </c>
      <c r="G28" s="121">
        <f>'Revenue Offset'!G27</f>
        <v>0.47057692148940627</v>
      </c>
      <c r="H28" s="122">
        <f t="shared" si="1"/>
        <v>883035.75935362163</v>
      </c>
      <c r="J28" s="209"/>
    </row>
    <row r="29" spans="1:10" ht="15" customHeight="1" x14ac:dyDescent="0.2">
      <c r="A29" s="10" t="s">
        <v>33</v>
      </c>
      <c r="B29" s="123" t="s">
        <v>135</v>
      </c>
      <c r="C29" s="95">
        <v>112870</v>
      </c>
      <c r="D29" s="98">
        <f t="shared" si="0"/>
        <v>369084.9</v>
      </c>
      <c r="E29" s="98"/>
      <c r="F29" s="98">
        <f t="shared" si="2"/>
        <v>369084.9</v>
      </c>
      <c r="G29" s="121">
        <f>'Revenue Offset'!G28</f>
        <v>0.41714297750943208</v>
      </c>
      <c r="H29" s="122">
        <f t="shared" si="1"/>
        <v>215123.72586022902</v>
      </c>
      <c r="J29" s="209"/>
    </row>
    <row r="30" spans="1:10" ht="15" customHeight="1" x14ac:dyDescent="0.2">
      <c r="A30" s="10" t="s">
        <v>35</v>
      </c>
      <c r="B30" s="123" t="s">
        <v>36</v>
      </c>
      <c r="C30" s="95">
        <f>195906+468960</f>
        <v>664866</v>
      </c>
      <c r="D30" s="98">
        <f t="shared" si="0"/>
        <v>2174111.8199999998</v>
      </c>
      <c r="E30" s="98">
        <v>50000</v>
      </c>
      <c r="F30" s="98">
        <f t="shared" si="2"/>
        <v>2224111.8199999998</v>
      </c>
      <c r="G30" s="121">
        <f>'Revenue Offset'!G29</f>
        <v>0.47780491960709021</v>
      </c>
      <c r="H30" s="122">
        <f t="shared" si="1"/>
        <v>1161420.2506477209</v>
      </c>
      <c r="J30" s="209"/>
    </row>
    <row r="31" spans="1:10" ht="15" customHeight="1" x14ac:dyDescent="0.2">
      <c r="A31" s="10" t="s">
        <v>37</v>
      </c>
      <c r="B31" s="123" t="s">
        <v>136</v>
      </c>
      <c r="C31" s="95">
        <f>138322+361379+27571</f>
        <v>527272</v>
      </c>
      <c r="D31" s="98">
        <f t="shared" si="0"/>
        <v>1724179.44</v>
      </c>
      <c r="E31" s="98">
        <v>100000</v>
      </c>
      <c r="F31" s="98">
        <f t="shared" si="2"/>
        <v>1824179.44</v>
      </c>
      <c r="G31" s="121">
        <f>'Revenue Offset'!G30</f>
        <v>0.480358996745472</v>
      </c>
      <c r="H31" s="122">
        <f t="shared" si="1"/>
        <v>947918.43431788299</v>
      </c>
      <c r="J31" s="209"/>
    </row>
    <row r="32" spans="1:10" ht="15" customHeight="1" x14ac:dyDescent="0.2">
      <c r="A32" s="10" t="s">
        <v>39</v>
      </c>
      <c r="B32" s="123" t="s">
        <v>140</v>
      </c>
      <c r="C32" s="95">
        <v>855203</v>
      </c>
      <c r="D32" s="98">
        <f t="shared" si="0"/>
        <v>2796513.81</v>
      </c>
      <c r="E32" s="98"/>
      <c r="F32" s="98">
        <f t="shared" si="2"/>
        <v>2796513.81</v>
      </c>
      <c r="G32" s="121">
        <f>'Revenue Offset'!G31</f>
        <v>0.56738066513450147</v>
      </c>
      <c r="H32" s="122">
        <f t="shared" si="1"/>
        <v>1209825.9444243812</v>
      </c>
      <c r="J32" s="209"/>
    </row>
    <row r="33" spans="1:10" ht="15" customHeight="1" x14ac:dyDescent="0.2">
      <c r="A33" s="10" t="s">
        <v>46</v>
      </c>
      <c r="B33" s="123" t="s">
        <v>70</v>
      </c>
      <c r="C33" s="95">
        <v>520968</v>
      </c>
      <c r="D33" s="98">
        <f t="shared" si="0"/>
        <v>1703565.36</v>
      </c>
      <c r="E33" s="98"/>
      <c r="F33" s="98">
        <f t="shared" si="2"/>
        <v>1703565.36</v>
      </c>
      <c r="G33" s="121">
        <f>'Revenue Offset'!G32</f>
        <v>0.57944309996775789</v>
      </c>
      <c r="H33" s="122">
        <f t="shared" si="1"/>
        <v>716446.16680391063</v>
      </c>
      <c r="J33" s="209"/>
    </row>
    <row r="34" spans="1:10" ht="15" customHeight="1" x14ac:dyDescent="0.2">
      <c r="A34" s="10" t="s">
        <v>41</v>
      </c>
      <c r="B34" s="123" t="s">
        <v>122</v>
      </c>
      <c r="C34" s="95">
        <f>110367+302745</f>
        <v>413112</v>
      </c>
      <c r="D34" s="98">
        <f t="shared" si="0"/>
        <v>1350876.24</v>
      </c>
      <c r="E34" s="98">
        <v>50000</v>
      </c>
      <c r="F34" s="98">
        <f t="shared" si="2"/>
        <v>1400876.24</v>
      </c>
      <c r="G34" s="121">
        <f>'Revenue Offset'!G33</f>
        <v>0.47099075237597204</v>
      </c>
      <c r="H34" s="122">
        <f t="shared" si="1"/>
        <v>741076.48573677731</v>
      </c>
      <c r="J34" s="209"/>
    </row>
    <row r="35" spans="1:10" ht="15" customHeight="1" x14ac:dyDescent="0.2">
      <c r="A35" s="10" t="s">
        <v>42</v>
      </c>
      <c r="B35" s="123" t="s">
        <v>69</v>
      </c>
      <c r="C35" s="95">
        <v>801231</v>
      </c>
      <c r="D35" s="98">
        <f t="shared" si="0"/>
        <v>2620025.37</v>
      </c>
      <c r="E35" s="98"/>
      <c r="F35" s="98">
        <f t="shared" si="2"/>
        <v>2620025.37</v>
      </c>
      <c r="G35" s="121">
        <f>'Revenue Offset'!G34</f>
        <v>0.55838092240113668</v>
      </c>
      <c r="H35" s="122">
        <f t="shared" si="1"/>
        <v>1157053.1871850207</v>
      </c>
      <c r="J35" s="209"/>
    </row>
    <row r="36" spans="1:10" ht="15" customHeight="1" x14ac:dyDescent="0.2">
      <c r="A36" s="10" t="s">
        <v>43</v>
      </c>
      <c r="B36" s="123" t="s">
        <v>44</v>
      </c>
      <c r="C36" s="95">
        <v>2194941</v>
      </c>
      <c r="D36" s="98">
        <f t="shared" si="0"/>
        <v>7177457.0700000003</v>
      </c>
      <c r="E36" s="98"/>
      <c r="F36" s="98">
        <f t="shared" si="2"/>
        <v>7177457.0700000003</v>
      </c>
      <c r="G36" s="121">
        <f>'Revenue Offset'!G35</f>
        <v>0.58900048828869056</v>
      </c>
      <c r="H36" s="122">
        <f t="shared" si="1"/>
        <v>2949931.3510988858</v>
      </c>
      <c r="J36" s="209"/>
    </row>
    <row r="37" spans="1:10" ht="15" customHeight="1" x14ac:dyDescent="0.2">
      <c r="A37" s="10" t="s">
        <v>45</v>
      </c>
      <c r="B37" s="123" t="s">
        <v>141</v>
      </c>
      <c r="C37" s="95">
        <v>502694</v>
      </c>
      <c r="D37" s="98">
        <f t="shared" si="0"/>
        <v>1643809.3800000001</v>
      </c>
      <c r="E37" s="98"/>
      <c r="F37" s="98">
        <f t="shared" si="2"/>
        <v>1643809.3800000001</v>
      </c>
      <c r="G37" s="121">
        <f>'Revenue Offset'!G36</f>
        <v>0.56041037842414987</v>
      </c>
      <c r="H37" s="122">
        <f t="shared" si="1"/>
        <v>722601.54329703283</v>
      </c>
      <c r="J37" s="209"/>
    </row>
    <row r="38" spans="1:10" ht="15" customHeight="1" x14ac:dyDescent="0.2">
      <c r="A38" s="10" t="s">
        <v>47</v>
      </c>
      <c r="B38" s="123" t="s">
        <v>48</v>
      </c>
      <c r="C38" s="95">
        <v>1289807</v>
      </c>
      <c r="D38" s="98">
        <f t="shared" si="0"/>
        <v>4217668.8899999997</v>
      </c>
      <c r="E38" s="98"/>
      <c r="F38" s="98">
        <f t="shared" si="2"/>
        <v>4217668.8899999997</v>
      </c>
      <c r="G38" s="121">
        <f>'Revenue Offset'!G37</f>
        <v>0.62676893077370865</v>
      </c>
      <c r="H38" s="122">
        <f t="shared" si="1"/>
        <v>1574165.0694571652</v>
      </c>
      <c r="J38" s="209"/>
    </row>
    <row r="39" spans="1:10" s="60" customFormat="1" ht="15" customHeight="1" x14ac:dyDescent="0.2">
      <c r="A39" s="124"/>
      <c r="B39" s="125"/>
      <c r="C39" s="207"/>
      <c r="D39" s="101"/>
      <c r="E39" s="97"/>
      <c r="F39" s="101"/>
      <c r="H39" s="126"/>
      <c r="I39" s="472"/>
    </row>
    <row r="40" spans="1:10" s="127" customFormat="1" ht="15" customHeight="1" x14ac:dyDescent="0.2">
      <c r="B40" s="128" t="s">
        <v>49</v>
      </c>
      <c r="C40" s="96">
        <f>SUM(C9:C38)</f>
        <v>22239098</v>
      </c>
      <c r="D40" s="96">
        <f>SUM(D9:D38)</f>
        <v>72721850.459999993</v>
      </c>
      <c r="E40" s="96">
        <f>SUM(E9:E38)</f>
        <v>1200000</v>
      </c>
      <c r="F40" s="96">
        <f>SUM(F9:F38)</f>
        <v>73921850.459999993</v>
      </c>
      <c r="G40" s="129">
        <f>'Revenue Offset'!G39</f>
        <v>0.56368042379787286</v>
      </c>
      <c r="H40" s="96">
        <f>SUM(H9:H38)</f>
        <v>33396391.223051388</v>
      </c>
    </row>
    <row r="42" spans="1:10" ht="12" customHeight="1" x14ac:dyDescent="0.2">
      <c r="B42" s="130"/>
    </row>
    <row r="43" spans="1:10" ht="12" customHeight="1" x14ac:dyDescent="0.2">
      <c r="A43" s="131"/>
    </row>
    <row r="44" spans="1:10" ht="15" customHeight="1" x14ac:dyDescent="0.2">
      <c r="A44" s="131" t="str">
        <f>'FY2015 Detail'!B39</f>
        <v>MnSCU Finance Division</v>
      </c>
      <c r="B44" s="132"/>
    </row>
    <row r="45" spans="1:10" ht="15" customHeight="1" x14ac:dyDescent="0.2">
      <c r="A45" s="131" t="str">
        <f>'FY2015 Detail'!B40</f>
        <v>s:\finance\bargain\FY18 allocation\Summary of FY2018 Institutional Allocation Draft</v>
      </c>
      <c r="B45" s="132"/>
    </row>
    <row r="46" spans="1:10" ht="15" customHeight="1" x14ac:dyDescent="0.2">
      <c r="A46" s="131"/>
      <c r="B46" s="132"/>
    </row>
    <row r="47" spans="1:10" ht="15" customHeight="1" x14ac:dyDescent="0.2">
      <c r="C47" s="57"/>
      <c r="E47" s="98"/>
    </row>
  </sheetData>
  <mergeCells count="5">
    <mergeCell ref="F5:F7"/>
    <mergeCell ref="G5:G7"/>
    <mergeCell ref="H5:H7"/>
    <mergeCell ref="E5:E6"/>
    <mergeCell ref="D5:D6"/>
  </mergeCells>
  <phoneticPr fontId="11" type="noConversion"/>
  <pageMargins left="0.42" right="0.19" top="0.37" bottom="0.15" header="0.36" footer="0.16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499984740745262"/>
    <pageSetUpPr fitToPage="1"/>
  </sheetPr>
  <dimension ref="A1:L42"/>
  <sheetViews>
    <sheetView topLeftCell="A7" zoomScale="80" zoomScaleNormal="80" workbookViewId="0">
      <selection activeCell="A41" sqref="A41"/>
    </sheetView>
  </sheetViews>
  <sheetFormatPr defaultRowHeight="12.75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10" max="12" width="0" hidden="1" customWidth="1"/>
  </cols>
  <sheetData>
    <row r="1" spans="1:12" ht="15" customHeight="1" x14ac:dyDescent="0.25">
      <c r="A1" s="37" t="s">
        <v>298</v>
      </c>
    </row>
    <row r="2" spans="1:12" ht="15" customHeight="1" x14ac:dyDescent="0.2">
      <c r="A2" s="4" t="s">
        <v>205</v>
      </c>
    </row>
    <row r="3" spans="1:12" ht="15" customHeight="1" x14ac:dyDescent="0.2">
      <c r="A3" s="4" t="s">
        <v>269</v>
      </c>
    </row>
    <row r="4" spans="1:12" ht="15" customHeight="1" x14ac:dyDescent="0.2">
      <c r="C4" s="211" t="s">
        <v>81</v>
      </c>
      <c r="D4" s="211" t="s">
        <v>74</v>
      </c>
      <c r="E4" s="211" t="s">
        <v>75</v>
      </c>
    </row>
    <row r="5" spans="1:12" ht="61.5" customHeight="1" x14ac:dyDescent="0.2">
      <c r="A5" s="224" t="s">
        <v>0</v>
      </c>
      <c r="B5" s="225" t="s">
        <v>85</v>
      </c>
      <c r="C5" s="224" t="s">
        <v>206</v>
      </c>
      <c r="D5" s="32" t="s">
        <v>207</v>
      </c>
      <c r="E5" s="31" t="s">
        <v>162</v>
      </c>
    </row>
    <row r="6" spans="1:12" ht="15" customHeight="1" x14ac:dyDescent="0.2">
      <c r="B6" s="35"/>
      <c r="D6" s="11"/>
      <c r="L6">
        <f>G6-I6</f>
        <v>0</v>
      </c>
    </row>
    <row r="7" spans="1:12" ht="15" customHeight="1" x14ac:dyDescent="0.2">
      <c r="A7" s="227" t="s">
        <v>2</v>
      </c>
      <c r="B7" s="228" t="s">
        <v>133</v>
      </c>
      <c r="C7" s="229">
        <f>'3rd Term Expected'!J6</f>
        <v>390000</v>
      </c>
      <c r="D7" s="229">
        <f>'Improvement Allocation'!H6</f>
        <v>32000</v>
      </c>
      <c r="E7" s="229">
        <f>C7+D7</f>
        <v>422000</v>
      </c>
      <c r="G7" s="368"/>
    </row>
    <row r="8" spans="1:12" s="56" customFormat="1" ht="15" customHeight="1" x14ac:dyDescent="0.2">
      <c r="A8" s="227" t="s">
        <v>4</v>
      </c>
      <c r="B8" s="228" t="s">
        <v>129</v>
      </c>
      <c r="C8" s="231">
        <f>'3rd Term Expected'!J7+'3rd Term Expected'!J8</f>
        <v>180000</v>
      </c>
      <c r="D8" s="232">
        <f>'Improvement Allocation'!H7+'Improvement Allocation'!H8</f>
        <v>0</v>
      </c>
      <c r="E8" s="229">
        <f t="shared" ref="E8:E36" si="0">C8+D8</f>
        <v>180000</v>
      </c>
      <c r="G8" s="368"/>
    </row>
    <row r="9" spans="1:12" ht="15" customHeight="1" x14ac:dyDescent="0.2">
      <c r="A9" s="227" t="s">
        <v>5</v>
      </c>
      <c r="B9" s="228" t="s">
        <v>118</v>
      </c>
      <c r="C9" s="233">
        <f>'3rd Term Expected'!J29+'3rd Term Expected'!J38</f>
        <v>40000</v>
      </c>
      <c r="D9" s="233">
        <f>'Improvement Allocation'!H29+'Improvement Allocation'!H38</f>
        <v>28000</v>
      </c>
      <c r="E9" s="229">
        <f t="shared" si="0"/>
        <v>68000</v>
      </c>
      <c r="G9" s="368"/>
    </row>
    <row r="10" spans="1:12" ht="15" customHeight="1" x14ac:dyDescent="0.2">
      <c r="A10" s="227" t="s">
        <v>6</v>
      </c>
      <c r="B10" s="228" t="s">
        <v>7</v>
      </c>
      <c r="C10" s="229">
        <f>'3rd Term Expected'!J9</f>
        <v>0</v>
      </c>
      <c r="D10" s="229">
        <f>'Improvement Allocation'!H9</f>
        <v>4000</v>
      </c>
      <c r="E10" s="229">
        <f t="shared" si="0"/>
        <v>4000</v>
      </c>
      <c r="G10" s="368"/>
    </row>
    <row r="11" spans="1:12" ht="15" customHeight="1" x14ac:dyDescent="0.2">
      <c r="A11" s="227" t="s">
        <v>8</v>
      </c>
      <c r="B11" s="228" t="s">
        <v>9</v>
      </c>
      <c r="C11" s="229">
        <f>'3rd Term Expected'!J10</f>
        <v>330000</v>
      </c>
      <c r="D11" s="229">
        <f>'Improvement Allocation'!H10</f>
        <v>212000</v>
      </c>
      <c r="E11" s="229">
        <f t="shared" si="0"/>
        <v>542000</v>
      </c>
      <c r="G11" s="368"/>
    </row>
    <row r="12" spans="1:12" ht="15" customHeight="1" x14ac:dyDescent="0.2">
      <c r="A12" s="227" t="s">
        <v>10</v>
      </c>
      <c r="B12" s="3" t="s">
        <v>161</v>
      </c>
      <c r="C12" s="229">
        <f>'3rd Term Expected'!J11+'3rd Term Expected'!J14</f>
        <v>0</v>
      </c>
      <c r="D12" s="229">
        <f>'Improvement Allocation'!H11+'Improvement Allocation'!H14</f>
        <v>12000</v>
      </c>
      <c r="E12" s="229">
        <f t="shared" si="0"/>
        <v>12000</v>
      </c>
      <c r="G12" s="368"/>
    </row>
    <row r="13" spans="1:12" ht="15" customHeight="1" x14ac:dyDescent="0.2">
      <c r="A13" s="227" t="s">
        <v>12</v>
      </c>
      <c r="B13" s="228" t="s">
        <v>13</v>
      </c>
      <c r="C13" s="229">
        <f>'3rd Term Expected'!J12</f>
        <v>150000</v>
      </c>
      <c r="D13" s="229">
        <f>'Improvement Allocation'!H12</f>
        <v>0</v>
      </c>
      <c r="E13" s="229">
        <f t="shared" si="0"/>
        <v>150000</v>
      </c>
      <c r="G13" s="368"/>
    </row>
    <row r="14" spans="1:12" ht="15" customHeight="1" x14ac:dyDescent="0.2">
      <c r="A14" s="227" t="s">
        <v>14</v>
      </c>
      <c r="B14" s="228" t="s">
        <v>147</v>
      </c>
      <c r="C14" s="229">
        <f>'3rd Term Expected'!J13</f>
        <v>0</v>
      </c>
      <c r="D14" s="229">
        <f>'Improvement Allocation'!H13</f>
        <v>0</v>
      </c>
      <c r="E14" s="229">
        <f t="shared" si="0"/>
        <v>0</v>
      </c>
      <c r="G14" s="368"/>
    </row>
    <row r="15" spans="1:12" ht="15" customHeight="1" x14ac:dyDescent="0.2">
      <c r="A15" s="227" t="s">
        <v>16</v>
      </c>
      <c r="B15" s="228" t="s">
        <v>17</v>
      </c>
      <c r="C15" s="229">
        <f>'3rd Term Expected'!J15</f>
        <v>0</v>
      </c>
      <c r="D15" s="229">
        <f>'Improvement Allocation'!H15</f>
        <v>12000</v>
      </c>
      <c r="E15" s="229">
        <f t="shared" si="0"/>
        <v>12000</v>
      </c>
      <c r="G15" s="368"/>
    </row>
    <row r="16" spans="1:12" ht="15" customHeight="1" x14ac:dyDescent="0.2">
      <c r="A16" s="227" t="s">
        <v>18</v>
      </c>
      <c r="B16" s="228" t="s">
        <v>148</v>
      </c>
      <c r="C16" s="229">
        <f>'3rd Term Expected'!J39</f>
        <v>10000</v>
      </c>
      <c r="D16" s="229">
        <f>'Improvement Allocation'!H39</f>
        <v>0</v>
      </c>
      <c r="E16" s="229">
        <f t="shared" si="0"/>
        <v>10000</v>
      </c>
      <c r="G16" s="368"/>
    </row>
    <row r="17" spans="1:7" ht="15" customHeight="1" x14ac:dyDescent="0.2">
      <c r="A17" s="227" t="s">
        <v>19</v>
      </c>
      <c r="B17" s="228" t="s">
        <v>134</v>
      </c>
      <c r="C17" s="229">
        <f>'3rd Term Expected'!J16</f>
        <v>0</v>
      </c>
      <c r="D17" s="229">
        <f>'Improvement Allocation'!H16</f>
        <v>8000</v>
      </c>
      <c r="E17" s="229">
        <f t="shared" si="0"/>
        <v>8000</v>
      </c>
      <c r="G17" s="368"/>
    </row>
    <row r="18" spans="1:7" ht="15" customHeight="1" x14ac:dyDescent="0.2">
      <c r="A18" s="227" t="s">
        <v>21</v>
      </c>
      <c r="B18" s="234" t="s">
        <v>203</v>
      </c>
      <c r="C18" s="229">
        <f>'3rd Term Expected'!J17</f>
        <v>0</v>
      </c>
      <c r="D18" s="229">
        <f>'Improvement Allocation'!H17</f>
        <v>12000</v>
      </c>
      <c r="E18" s="229">
        <f t="shared" si="0"/>
        <v>12000</v>
      </c>
      <c r="G18" s="368"/>
    </row>
    <row r="19" spans="1:7" ht="15" customHeight="1" x14ac:dyDescent="0.2">
      <c r="A19" s="227" t="s">
        <v>114</v>
      </c>
      <c r="B19" s="228" t="s">
        <v>149</v>
      </c>
      <c r="C19" s="229">
        <f>'3rd Term Expected'!J18</f>
        <v>0</v>
      </c>
      <c r="D19" s="229">
        <f>'Improvement Allocation'!H18</f>
        <v>76000</v>
      </c>
      <c r="E19" s="229">
        <f t="shared" si="0"/>
        <v>76000</v>
      </c>
      <c r="G19" s="368"/>
    </row>
    <row r="20" spans="1:7" ht="15" customHeight="1" x14ac:dyDescent="0.2">
      <c r="A20" s="227" t="s">
        <v>26</v>
      </c>
      <c r="B20" s="228" t="s">
        <v>62</v>
      </c>
      <c r="C20" s="229">
        <f>'3rd Term Expected'!J41</f>
        <v>240000</v>
      </c>
      <c r="D20" s="229">
        <f>'Improvement Allocation'!H41</f>
        <v>0</v>
      </c>
      <c r="E20" s="229">
        <f t="shared" si="0"/>
        <v>240000</v>
      </c>
      <c r="G20" s="368"/>
    </row>
    <row r="21" spans="1:7" ht="15" customHeight="1" x14ac:dyDescent="0.2">
      <c r="A21" s="227" t="s">
        <v>22</v>
      </c>
      <c r="B21" s="228" t="s">
        <v>23</v>
      </c>
      <c r="C21" s="229">
        <f>'3rd Term Expected'!J40</f>
        <v>0</v>
      </c>
      <c r="D21" s="229">
        <f>'Improvement Allocation'!H40</f>
        <v>24000</v>
      </c>
      <c r="E21" s="229">
        <f t="shared" si="0"/>
        <v>24000</v>
      </c>
      <c r="G21" s="368"/>
    </row>
    <row r="22" spans="1:7" ht="15" customHeight="1" x14ac:dyDescent="0.2">
      <c r="A22" s="227" t="s">
        <v>24</v>
      </c>
      <c r="B22" s="228" t="s">
        <v>145</v>
      </c>
      <c r="C22" s="229">
        <f>'3rd Term Expected'!J19</f>
        <v>100000</v>
      </c>
      <c r="D22" s="229">
        <f>'Improvement Allocation'!H19</f>
        <v>0</v>
      </c>
      <c r="E22" s="229">
        <f t="shared" si="0"/>
        <v>100000</v>
      </c>
      <c r="G22" s="368"/>
    </row>
    <row r="23" spans="1:7" ht="15" customHeight="1" x14ac:dyDescent="0.2">
      <c r="A23" s="227" t="s">
        <v>27</v>
      </c>
      <c r="B23" s="228" t="s">
        <v>137</v>
      </c>
      <c r="C23" s="229">
        <f>'3rd Term Expected'!J20</f>
        <v>460000</v>
      </c>
      <c r="D23" s="229">
        <f>'Improvement Allocation'!H20</f>
        <v>112000</v>
      </c>
      <c r="E23" s="229">
        <f t="shared" si="0"/>
        <v>572000</v>
      </c>
      <c r="G23" s="368"/>
    </row>
    <row r="24" spans="1:7" ht="15" customHeight="1" x14ac:dyDescent="0.2">
      <c r="A24" s="227" t="s">
        <v>29</v>
      </c>
      <c r="B24" s="228" t="s">
        <v>138</v>
      </c>
      <c r="C24" s="229">
        <f>'3rd Term Expected'!J21</f>
        <v>20000</v>
      </c>
      <c r="D24" s="229">
        <f>'Improvement Allocation'!H21</f>
        <v>0</v>
      </c>
      <c r="E24" s="229">
        <f t="shared" si="0"/>
        <v>20000</v>
      </c>
      <c r="G24" s="368"/>
    </row>
    <row r="25" spans="1:7" ht="15" customHeight="1" x14ac:dyDescent="0.2">
      <c r="A25" s="227" t="s">
        <v>123</v>
      </c>
      <c r="B25" s="228" t="s">
        <v>63</v>
      </c>
      <c r="C25" s="233">
        <f>'3rd Term Expected'!J22</f>
        <v>320000</v>
      </c>
      <c r="D25" s="233">
        <f>'Improvement Allocation'!H22</f>
        <v>48000</v>
      </c>
      <c r="E25" s="229">
        <f t="shared" si="0"/>
        <v>368000</v>
      </c>
      <c r="G25" s="368"/>
    </row>
    <row r="26" spans="1:7" ht="15" customHeight="1" x14ac:dyDescent="0.2">
      <c r="A26" s="227" t="s">
        <v>31</v>
      </c>
      <c r="B26" s="228" t="s">
        <v>139</v>
      </c>
      <c r="C26" s="229">
        <f>'3rd Term Expected'!J28</f>
        <v>310000</v>
      </c>
      <c r="D26" s="229">
        <f>'Improvement Allocation'!H28</f>
        <v>12000</v>
      </c>
      <c r="E26" s="229">
        <f t="shared" si="0"/>
        <v>322000</v>
      </c>
      <c r="G26" s="368"/>
    </row>
    <row r="27" spans="1:7" ht="15" customHeight="1" x14ac:dyDescent="0.2">
      <c r="A27" s="227" t="s">
        <v>33</v>
      </c>
      <c r="B27" s="228" t="s">
        <v>135</v>
      </c>
      <c r="C27" s="229">
        <f>'3rd Term Expected'!J30</f>
        <v>0</v>
      </c>
      <c r="D27" s="229">
        <f>'Improvement Allocation'!H30</f>
        <v>24000</v>
      </c>
      <c r="E27" s="229">
        <f t="shared" si="0"/>
        <v>24000</v>
      </c>
      <c r="G27" s="368"/>
    </row>
    <row r="28" spans="1:7" ht="15" customHeight="1" x14ac:dyDescent="0.2">
      <c r="A28" s="227" t="s">
        <v>35</v>
      </c>
      <c r="B28" s="228" t="s">
        <v>36</v>
      </c>
      <c r="C28" s="229">
        <f>'3rd Term Expected'!J31</f>
        <v>0</v>
      </c>
      <c r="D28" s="229">
        <f>'Improvement Allocation'!H31</f>
        <v>0</v>
      </c>
      <c r="E28" s="229">
        <f t="shared" si="0"/>
        <v>0</v>
      </c>
      <c r="G28" s="368"/>
    </row>
    <row r="29" spans="1:7" ht="15" customHeight="1" x14ac:dyDescent="0.2">
      <c r="A29" s="227" t="s">
        <v>37</v>
      </c>
      <c r="B29" s="228" t="s">
        <v>136</v>
      </c>
      <c r="C29" s="229">
        <f>'3rd Term Expected'!J32</f>
        <v>120000</v>
      </c>
      <c r="D29" s="229">
        <f>'Improvement Allocation'!H32</f>
        <v>48000</v>
      </c>
      <c r="E29" s="229">
        <f t="shared" si="0"/>
        <v>168000</v>
      </c>
      <c r="G29" s="368"/>
    </row>
    <row r="30" spans="1:7" ht="15" customHeight="1" x14ac:dyDescent="0.2">
      <c r="A30" s="227" t="s">
        <v>39</v>
      </c>
      <c r="B30" s="228" t="s">
        <v>140</v>
      </c>
      <c r="C30" s="229">
        <f>'3rd Term Expected'!J33</f>
        <v>0</v>
      </c>
      <c r="D30" s="229">
        <f>'Improvement Allocation'!G33</f>
        <v>0</v>
      </c>
      <c r="E30" s="229">
        <f t="shared" si="0"/>
        <v>0</v>
      </c>
      <c r="G30" s="368"/>
    </row>
    <row r="31" spans="1:7" ht="15" customHeight="1" x14ac:dyDescent="0.2">
      <c r="A31" s="227" t="s">
        <v>46</v>
      </c>
      <c r="B31" s="228" t="s">
        <v>70</v>
      </c>
      <c r="C31" s="229">
        <f>'3rd Term Expected'!J35</f>
        <v>480000</v>
      </c>
      <c r="D31" s="229">
        <f>'Improvement Allocation'!H35</f>
        <v>468000</v>
      </c>
      <c r="E31" s="229">
        <f t="shared" si="0"/>
        <v>948000</v>
      </c>
      <c r="G31" s="368"/>
    </row>
    <row r="32" spans="1:7" ht="15" customHeight="1" x14ac:dyDescent="0.2">
      <c r="A32" s="227" t="s">
        <v>41</v>
      </c>
      <c r="B32" s="228" t="s">
        <v>122</v>
      </c>
      <c r="C32" s="229">
        <f>'3rd Term Expected'!J36</f>
        <v>10000</v>
      </c>
      <c r="D32" s="229">
        <f>'Improvement Allocation'!H36</f>
        <v>0</v>
      </c>
      <c r="E32" s="229">
        <f t="shared" si="0"/>
        <v>10000</v>
      </c>
      <c r="G32" s="368"/>
    </row>
    <row r="33" spans="1:9" ht="15" customHeight="1" x14ac:dyDescent="0.2">
      <c r="A33" s="227" t="s">
        <v>42</v>
      </c>
      <c r="B33" s="228" t="s">
        <v>69</v>
      </c>
      <c r="C33" s="229">
        <f>'3rd Term Expected'!J43</f>
        <v>90000</v>
      </c>
      <c r="D33" s="229">
        <f>'Improvement Allocation'!H43</f>
        <v>0</v>
      </c>
      <c r="E33" s="229">
        <f t="shared" si="0"/>
        <v>90000</v>
      </c>
      <c r="G33" s="368"/>
    </row>
    <row r="34" spans="1:9" ht="15" customHeight="1" x14ac:dyDescent="0.2">
      <c r="A34" s="227" t="s">
        <v>43</v>
      </c>
      <c r="B34" s="228" t="s">
        <v>44</v>
      </c>
      <c r="C34" s="229">
        <f>'3rd Term Expected'!J42</f>
        <v>0</v>
      </c>
      <c r="D34" s="229">
        <f>'Improvement Allocation'!H42</f>
        <v>88000</v>
      </c>
      <c r="E34" s="229">
        <f t="shared" si="0"/>
        <v>88000</v>
      </c>
      <c r="G34" s="368"/>
    </row>
    <row r="35" spans="1:9" ht="15" customHeight="1" x14ac:dyDescent="0.2">
      <c r="A35" s="227" t="s">
        <v>45</v>
      </c>
      <c r="B35" s="228" t="s">
        <v>141</v>
      </c>
      <c r="C35" s="229">
        <f>'3rd Term Expected'!J34</f>
        <v>290000</v>
      </c>
      <c r="D35" s="229">
        <f>'Improvement Allocation'!H34</f>
        <v>96000</v>
      </c>
      <c r="E35" s="229">
        <f t="shared" si="0"/>
        <v>386000</v>
      </c>
      <c r="G35" s="368"/>
    </row>
    <row r="36" spans="1:9" ht="15" customHeight="1" x14ac:dyDescent="0.2">
      <c r="A36" s="227" t="s">
        <v>47</v>
      </c>
      <c r="B36" s="228" t="s">
        <v>48</v>
      </c>
      <c r="C36" s="229">
        <f>'3rd Term Expected'!J44</f>
        <v>340000</v>
      </c>
      <c r="D36" s="229">
        <f>'Improvement Allocation'!H44</f>
        <v>28000</v>
      </c>
      <c r="E36" s="229">
        <f t="shared" si="0"/>
        <v>368000</v>
      </c>
      <c r="G36" s="368"/>
    </row>
    <row r="37" spans="1:9" ht="15" customHeight="1" x14ac:dyDescent="0.2">
      <c r="D37" s="11"/>
      <c r="G37" s="15"/>
      <c r="I37" s="6"/>
    </row>
    <row r="38" spans="1:9" ht="15" customHeight="1" x14ac:dyDescent="0.2">
      <c r="B38" t="s">
        <v>49</v>
      </c>
      <c r="C38" s="235">
        <f>SUM(C7:C37)</f>
        <v>3880000</v>
      </c>
      <c r="D38" s="235">
        <f>SUM(D7:D37)</f>
        <v>1344000</v>
      </c>
      <c r="E38" s="235">
        <f>SUM(E7:E37)</f>
        <v>5224000</v>
      </c>
    </row>
    <row r="40" spans="1:9" ht="15" customHeight="1" x14ac:dyDescent="0.2">
      <c r="A40" s="16" t="str">
        <f>'[3]FY2015 Detail'!B40</f>
        <v>MnSCU Finance Division</v>
      </c>
    </row>
    <row r="41" spans="1:9" ht="15" customHeight="1" x14ac:dyDescent="0.2">
      <c r="A41" s="16" t="s">
        <v>198</v>
      </c>
    </row>
    <row r="42" spans="1:9" ht="15" customHeight="1" x14ac:dyDescent="0.2">
      <c r="A42" s="16"/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FY2015 Detail</vt:lpstr>
      <vt:lpstr>Sheet1</vt:lpstr>
      <vt:lpstr>FY15 Detail</vt:lpstr>
      <vt:lpstr>Instruction</vt:lpstr>
      <vt:lpstr>Academic Support Per FYE</vt:lpstr>
      <vt:lpstr>Student&amp;Institutional Support</vt:lpstr>
      <vt:lpstr>Weighted differ concurrent</vt:lpstr>
      <vt:lpstr>Facilities</vt:lpstr>
      <vt:lpstr>Student Success</vt:lpstr>
      <vt:lpstr>3rd Term Expected</vt:lpstr>
      <vt:lpstr>Improvement Allocation</vt:lpstr>
      <vt:lpstr>Research</vt:lpstr>
      <vt:lpstr>Revenue Offset</vt:lpstr>
      <vt:lpstr>'3rd Term Expected'!Print_Area</vt:lpstr>
      <vt:lpstr>'FY15 Detail'!Print_Area</vt:lpstr>
      <vt:lpstr>'FY2015 Detail'!Print_Area</vt:lpstr>
      <vt:lpstr>'Improvement Allocation'!Print_Area</vt:lpstr>
      <vt:lpstr>Instruction!Print_Area</vt:lpstr>
      <vt:lpstr>'FY15 Detail'!Print_Titles</vt:lpstr>
      <vt:lpstr>'FY2015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2017-06-05T15:14:06Z</cp:lastPrinted>
  <dcterms:created xsi:type="dcterms:W3CDTF">2000-05-30T14:50:23Z</dcterms:created>
  <dcterms:modified xsi:type="dcterms:W3CDTF">2017-06-05T15:14:29Z</dcterms:modified>
</cp:coreProperties>
</file>