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0 Cost Study\"/>
    </mc:Choice>
  </mc:AlternateContent>
  <bookViews>
    <workbookView xWindow="345" yWindow="-135" windowWidth="11340" windowHeight="6270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r:id="rId44"/>
    <sheet name="Indirect Combined" sheetId="52" r:id="rId45"/>
    <sheet name="Indirect SPlit" sheetId="51" r:id="rId46"/>
  </sheets>
  <calcPr calcId="162913"/>
</workbook>
</file>

<file path=xl/calcChain.xml><?xml version="1.0" encoding="utf-8"?>
<calcChain xmlns="http://schemas.openxmlformats.org/spreadsheetml/2006/main">
  <c r="E46" i="43" l="1"/>
  <c r="K37" i="43"/>
  <c r="E26" i="43"/>
  <c r="E13" i="43" l="1"/>
  <c r="E8" i="43"/>
  <c r="K48" i="43" l="1"/>
  <c r="A1" i="1" l="1"/>
  <c r="I31" i="43" l="1"/>
  <c r="B29" i="49" l="1"/>
  <c r="C9" i="49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B12" i="49" s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J12" i="48"/>
  <c r="J15" i="48" s="1"/>
  <c r="J18" i="48" s="1"/>
  <c r="J2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1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K30" i="43"/>
  <c r="B31" i="43"/>
  <c r="C31" i="43"/>
  <c r="C9" i="39" s="1"/>
  <c r="D31" i="43"/>
  <c r="E31" i="43"/>
  <c r="H31" i="43"/>
  <c r="J31" i="43"/>
  <c r="J9" i="39" s="1"/>
  <c r="K32" i="43"/>
  <c r="K33" i="43"/>
  <c r="K34" i="43"/>
  <c r="K35" i="43"/>
  <c r="K36" i="43"/>
  <c r="K38" i="43"/>
  <c r="K39" i="43"/>
  <c r="K40" i="43"/>
  <c r="K41" i="43"/>
  <c r="K42" i="43"/>
  <c r="K43" i="43"/>
  <c r="K44" i="43"/>
  <c r="K45" i="43"/>
  <c r="K46" i="43"/>
  <c r="K47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H11" i="48" l="1"/>
  <c r="H12" i="48" s="1"/>
  <c r="I11" i="48"/>
  <c r="I12" i="48" s="1"/>
  <c r="I14" i="48" s="1"/>
  <c r="C14" i="48" s="1"/>
  <c r="C11" i="48"/>
  <c r="C12" i="48" s="1"/>
  <c r="D11" i="48"/>
  <c r="D12" i="48" s="1"/>
  <c r="D50" i="43"/>
  <c r="D9" i="38" s="1"/>
  <c r="C50" i="43"/>
  <c r="C9" i="38" s="1"/>
  <c r="G11" i="48"/>
  <c r="G12" i="48" s="1"/>
  <c r="E11" i="48"/>
  <c r="E12" i="48" s="1"/>
  <c r="E50" i="43"/>
  <c r="E9" i="38" s="1"/>
  <c r="I50" i="43"/>
  <c r="I9" i="38" s="1"/>
  <c r="B50" i="43"/>
  <c r="B9" i="38" s="1"/>
  <c r="B27" i="38" s="1"/>
  <c r="K15" i="43"/>
  <c r="H50" i="43"/>
  <c r="H9" i="38" s="1"/>
  <c r="G50" i="43"/>
  <c r="G9" i="38" s="1"/>
  <c r="J50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J11" i="39"/>
  <c r="J12" i="39" s="1"/>
  <c r="J15" i="39" s="1"/>
  <c r="J18" i="39" s="1"/>
  <c r="J22" i="39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1" i="43"/>
  <c r="E9" i="39"/>
  <c r="J12" i="46"/>
  <c r="J15" i="46" s="1"/>
  <c r="J18" i="46" s="1"/>
  <c r="J22" i="46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C15" i="48" l="1"/>
  <c r="I15" i="48"/>
  <c r="I18" i="48" s="1"/>
  <c r="I22" i="48" s="1"/>
  <c r="H14" i="48"/>
  <c r="H15" i="48" s="1"/>
  <c r="H17" i="48" s="1"/>
  <c r="H18" i="48" s="1"/>
  <c r="H22" i="48" s="1"/>
  <c r="D14" i="48"/>
  <c r="D15" i="48" s="1"/>
  <c r="G14" i="48"/>
  <c r="G15" i="48" s="1"/>
  <c r="E14" i="48"/>
  <c r="E15" i="48" s="1"/>
  <c r="B14" i="48"/>
  <c r="B15" i="48" s="1"/>
  <c r="K12" i="48"/>
  <c r="K50" i="43"/>
  <c r="K15" i="49"/>
  <c r="H17" i="49"/>
  <c r="H18" i="49" s="1"/>
  <c r="H22" i="49" s="1"/>
  <c r="E11" i="10"/>
  <c r="E12" i="10" s="1"/>
  <c r="H11" i="7"/>
  <c r="H12" i="7" s="1"/>
  <c r="H11" i="45"/>
  <c r="H12" i="45" s="1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K15" i="48" l="1"/>
  <c r="C17" i="49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9" l="1"/>
  <c r="D15" i="47" s="1"/>
  <c r="C15" i="47"/>
  <c r="B30" i="48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<sst xmlns="http://schemas.openxmlformats.org/spreadsheetml/2006/main" count="1341" uniqueCount="173">
  <si>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</si>
  <si>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</si>
  <si>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</si>
  <si>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</si>
  <si>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</si>
  <si>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</si>
  <si>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</si>
  <si>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</si>
  <si>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</si>
  <si>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</si>
  <si>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</si>
  <si>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</si>
  <si>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</si>
  <si>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</si>
  <si>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</si>
  <si>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</si>
  <si>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</si>
  <si>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</si>
  <si>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</si>
  <si>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</si>
  <si>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</si>
  <si>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</si>
  <si>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</si>
  <si>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</si>
  <si>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</si>
  <si>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</si>
  <si>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</si>
  <si>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</si>
  <si>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</si>
  <si>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</si>
  <si>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</si>
  <si>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</si>
  <si>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</si>
  <si>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</si>
  <si>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</si>
  <si>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</si>
  <si>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</si>
  <si>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</si>
  <si>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</si>
  <si>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</si>
  <si>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</si>
  <si>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</si>
  <si>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</si>
  <si>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</si>
  <si>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</si>
  <si>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</si>
  <si>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</si>
  <si>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</si>
  <si>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</si>
  <si>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</si>
  <si>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</si>
  <si>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</si>
  <si>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</si>
  <si>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</si>
  <si>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</si>
  <si>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</si>
  <si>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</si>
  <si>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</si>
  <si>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</si>
  <si>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</si>
  <si>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</si>
  <si>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</si>
  <si>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</si>
  <si>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</si>
  <si>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</si>
  <si>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</si>
  <si>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</si>
  <si>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</si>
  <si>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</si>
  <si>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</si>
  <si>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</si>
  <si>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</si>
  <si>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</si>
  <si>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</si>
  <si>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</si>
  <si>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</si>
  <si>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</si>
  <si>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</si>
  <si>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</si>
  <si>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</si>
  <si>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</si>
  <si>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</si>
  <si>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</si>
  <si>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</si>
  <si>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</si>
  <si>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</si>
  <si>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</si>
  <si>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</si>
  <si>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</si>
  <si>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</si>
  <si>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</si>
  <si>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</si>
  <si>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</si>
  <si>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</si>
  <si>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</si>
  <si>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</si>
  <si>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</si>
  <si>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</si>
  <si>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</si>
  <si>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</si>
  <si>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</si>
  <si>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</si>
  <si>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</si>
  <si>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</si>
  <si>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</si>
  <si>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</si>
  <si>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</si>
  <si>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</si>
  <si>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</si>
  <si>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</si>
  <si>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</si>
  <si>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</si>
  <si>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</si>
  <si>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</si>
  <si>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</si>
  <si>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</si>
  <si>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</si>
  <si>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</si>
  <si>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</si>
  <si>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</si>
  <si>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Minnesota State System Office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</si>
  <si>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</si>
  <si>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</si>
  <si>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</si>
  <si>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</si>
  <si>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</si>
  <si>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</si>
  <si>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</si>
  <si>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</si>
  <si>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</si>
  <si>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</si>
  <si>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</si>
  <si>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</si>
  <si>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</si>
  <si>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</si>
  <si>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</si>
  <si>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</si>
  <si>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</si>
  <si>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</si>
  <si>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</si>
  <si>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</si>
  <si>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</si>
  <si>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</si>
  <si>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</si>
  <si>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</si>
  <si>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</si>
  <si>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</si>
  <si>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</si>
  <si>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</si>
  <si>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</si>
  <si>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</si>
  <si>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</si>
  <si>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</si>
  <si>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</si>
  <si>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</si>
  <si>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</si>
  <si>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</si>
  <si>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</si>
  <si>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</si>
  <si>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</si>
  <si>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</si>
  <si>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Bemidji State University</t>
  </si>
  <si>
    <t>Northwest Technical College-Bemidji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</si>
  <si>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</si>
  <si>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</si>
  <si>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</si>
  <si>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</si>
  <si>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</si>
  <si>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FY2020 Expenditures by IPEDS Category -- Used in Step Down</t>
  </si>
  <si>
    <t>FP&amp;A March 2021</t>
  </si>
  <si>
    <t>FY2020 FYE</t>
  </si>
  <si>
    <t>MINNESOTA STATE - F.Y. 2020</t>
  </si>
  <si>
    <t>FY2020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</si>
</sst>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_);[Red]\(#,##0.000\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40" fontId="4" fillId="0" borderId="0" xfId="0" applyNumberFormat="1" applyFont="1" applyFill="1"/>
    <xf numFmtId="164" fontId="4" fillId="0" borderId="0" xfId="0" applyNumberFormat="1" applyFont="1" applyFill="1"/>
    <xf numFmtId="3" fontId="4" fillId="0" borderId="2" xfId="0" applyNumberFormat="1" applyFont="1" applyBorder="1" applyAlignment="1"/>
    <xf numFmtId="38" fontId="4" fillId="0" borderId="2" xfId="0" applyNumberFormat="1" applyFont="1" applyBorder="1" applyAlignment="1"/>
    <xf numFmtId="0" fontId="4" fillId="0" borderId="0" xfId="0" applyFont="1" applyFill="1" applyAlignment="1">
      <alignment wrapText="1"/>
    </xf>
  </cellXfs>
  <cellStyles count="4">
    <cellStyle name="Comma" xfId="3" builtinId="3"/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9" sqref="D39"/>
    </sheetView>
  </sheetViews>
  <sheetFormatPr defaultColWidth="9.140625" defaultRowHeight="12" x14ac:dyDescent="0.2"/>
  <cols>
    <col min="1" max="1" width="35.7109375" style="30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30" customWidth="1"/>
    <col min="13" max="13" width="12.85546875" style="30" bestFit="1" customWidth="1"/>
    <col min="14" max="16384" width="9.140625" style="30"/>
  </cols>
  <sheetData>
    <row r="1" spans="1:13" ht="20.25" x14ac:dyDescent="0.3">
      <c r="A1" s="38" t="s">
        <v>115</v>
      </c>
      <c r="H1" s="19"/>
    </row>
    <row r="2" spans="1:13" x14ac:dyDescent="0.2">
      <c r="A2" s="38" t="s">
        <v>168</v>
      </c>
    </row>
    <row r="3" spans="1:13" ht="24" customHeight="1" x14ac:dyDescent="0.2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3" ht="31.5" customHeight="1" x14ac:dyDescent="0.2">
      <c r="A5" s="39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40" t="s">
        <v>1</v>
      </c>
    </row>
    <row r="6" spans="1:13" ht="12" customHeight="1" x14ac:dyDescent="0.2">
      <c r="A6" s="15" t="s">
        <v>70</v>
      </c>
      <c r="B6" s="22">
        <v>10532387.189999999</v>
      </c>
      <c r="C6" s="22">
        <v>5634.59</v>
      </c>
      <c r="D6" s="22">
        <v>960307.22</v>
      </c>
      <c r="E6" s="22">
        <v>65935.8</v>
      </c>
      <c r="F6" s="23"/>
      <c r="G6" s="22">
        <v>2232322.44</v>
      </c>
      <c r="H6" s="22">
        <v>2271065.71</v>
      </c>
      <c r="I6" s="22">
        <v>5353562.05</v>
      </c>
      <c r="J6" s="22">
        <v>2647273.0099999998</v>
      </c>
      <c r="K6" s="31">
        <f t="shared" ref="K6:K48" si="0">SUM(B6:J6)</f>
        <v>24068488.009999998</v>
      </c>
    </row>
    <row r="7" spans="1:13" ht="12" customHeight="1" x14ac:dyDescent="0.2">
      <c r="A7" s="15" t="s">
        <v>67</v>
      </c>
      <c r="B7" s="22">
        <f>B8+B9</f>
        <v>32288075.43</v>
      </c>
      <c r="C7" s="22">
        <f>C8+C9</f>
        <v>0</v>
      </c>
      <c r="D7" s="22">
        <f>D8+D9</f>
        <v>993206.58</v>
      </c>
      <c r="E7" s="22">
        <f>E8+E9</f>
        <v>172645.4</v>
      </c>
      <c r="F7" s="23"/>
      <c r="G7" s="22">
        <f>G8+G9</f>
        <v>10195269.16</v>
      </c>
      <c r="H7" s="22">
        <f>H8+H9</f>
        <v>7358724.5700000003</v>
      </c>
      <c r="I7" s="22">
        <f>I8+I9</f>
        <v>9402237.2100000009</v>
      </c>
      <c r="J7" s="22">
        <f>J8+J9</f>
        <v>8933929.5800000001</v>
      </c>
      <c r="K7" s="31">
        <f t="shared" si="0"/>
        <v>69344087.929999992</v>
      </c>
    </row>
    <row r="8" spans="1:13" ht="12" customHeight="1" x14ac:dyDescent="0.2">
      <c r="A8" s="34" t="s">
        <v>73</v>
      </c>
      <c r="B8" s="22">
        <v>23032944.109999999</v>
      </c>
      <c r="C8" s="22"/>
      <c r="D8" s="22">
        <v>993206.58</v>
      </c>
      <c r="E8" s="22">
        <f>39814.13+4237.8</f>
        <v>44051.93</v>
      </c>
      <c r="F8" s="23"/>
      <c r="G8" s="22">
        <v>8537168.3900000006</v>
      </c>
      <c r="H8" s="22">
        <v>5765260.3600000003</v>
      </c>
      <c r="I8" s="22">
        <v>6816994.7199999997</v>
      </c>
      <c r="J8" s="22">
        <v>7419002.7300000004</v>
      </c>
      <c r="K8" s="31">
        <f t="shared" si="0"/>
        <v>52608628.819999993</v>
      </c>
      <c r="M8" s="17"/>
    </row>
    <row r="9" spans="1:13" ht="12" customHeight="1" x14ac:dyDescent="0.2">
      <c r="A9" s="34" t="s">
        <v>74</v>
      </c>
      <c r="B9" s="22">
        <v>9255131.3200000003</v>
      </c>
      <c r="C9" s="24"/>
      <c r="D9" s="22"/>
      <c r="E9" s="22">
        <v>128593.47</v>
      </c>
      <c r="F9" s="23"/>
      <c r="G9" s="22">
        <v>1658100.77</v>
      </c>
      <c r="H9" s="22">
        <v>1593464.21</v>
      </c>
      <c r="I9" s="22">
        <v>2585242.4900000002</v>
      </c>
      <c r="J9" s="22">
        <v>1514926.85</v>
      </c>
      <c r="K9" s="31">
        <f t="shared" si="0"/>
        <v>16735459.109999999</v>
      </c>
      <c r="M9" s="46"/>
    </row>
    <row r="10" spans="1:13" ht="12" customHeight="1" x14ac:dyDescent="0.2">
      <c r="A10" s="34" t="s">
        <v>77</v>
      </c>
      <c r="B10" s="16">
        <f>SUM(B11:B12)</f>
        <v>27231990.84</v>
      </c>
      <c r="C10" s="16">
        <f>SUM(C11:C12)</f>
        <v>0</v>
      </c>
      <c r="D10" s="16">
        <f>SUM(D11:D12)</f>
        <v>79183.600000000006</v>
      </c>
      <c r="E10" s="16">
        <f>SUM(E11:E12)</f>
        <v>4918669.97</v>
      </c>
      <c r="F10" s="23"/>
      <c r="G10" s="16">
        <f>SUM(G11:G12)</f>
        <v>9075163.290000001</v>
      </c>
      <c r="H10" s="16">
        <f>SUM(H11:H12)</f>
        <v>6375199.7000000002</v>
      </c>
      <c r="I10" s="16">
        <f>SUM(I11:I12)</f>
        <v>10776573.34</v>
      </c>
      <c r="J10" s="16">
        <f>SUM(J11:J12)</f>
        <v>7194226.4100000001</v>
      </c>
      <c r="K10" s="16">
        <f>SUM(K11:K12)</f>
        <v>65651007.149999991</v>
      </c>
    </row>
    <row r="11" spans="1:13" ht="12" customHeight="1" x14ac:dyDescent="0.2">
      <c r="A11" s="34" t="s">
        <v>75</v>
      </c>
      <c r="B11" s="22">
        <v>23319873.859999999</v>
      </c>
      <c r="C11" s="22"/>
      <c r="D11" s="22">
        <v>70409.41</v>
      </c>
      <c r="E11" s="22">
        <v>4760288.7699999996</v>
      </c>
      <c r="F11" s="23"/>
      <c r="G11" s="22">
        <v>8689340.1500000004</v>
      </c>
      <c r="H11" s="22">
        <v>4868739.12</v>
      </c>
      <c r="I11" s="22">
        <v>8900613.6999999993</v>
      </c>
      <c r="J11" s="22">
        <v>6616273.8499999996</v>
      </c>
      <c r="K11" s="31">
        <f>SUM(B11:J11)</f>
        <v>57225538.859999992</v>
      </c>
    </row>
    <row r="12" spans="1:13" ht="12" customHeight="1" x14ac:dyDescent="0.2">
      <c r="A12" s="34" t="s">
        <v>76</v>
      </c>
      <c r="B12" s="22">
        <v>3912116.98</v>
      </c>
      <c r="C12" s="24"/>
      <c r="D12" s="22">
        <v>8774.19</v>
      </c>
      <c r="E12" s="22">
        <v>158381.20000000001</v>
      </c>
      <c r="F12" s="23"/>
      <c r="G12" s="22">
        <v>385823.14</v>
      </c>
      <c r="H12" s="22">
        <v>1506460.58</v>
      </c>
      <c r="I12" s="22">
        <v>1875959.64</v>
      </c>
      <c r="J12" s="22">
        <v>577952.56000000006</v>
      </c>
      <c r="K12" s="31">
        <f>SUM(B12:J12)</f>
        <v>8425468.2899999991</v>
      </c>
    </row>
    <row r="13" spans="1:13" ht="12" customHeight="1" x14ac:dyDescent="0.2">
      <c r="A13" s="15" t="s">
        <v>39</v>
      </c>
      <c r="B13" s="22">
        <v>13130041.800000001</v>
      </c>
      <c r="C13" s="24"/>
      <c r="D13" s="22">
        <v>694376.44</v>
      </c>
      <c r="E13" s="22">
        <f>153193.81+5000</f>
        <v>158193.81</v>
      </c>
      <c r="F13" s="23"/>
      <c r="G13" s="22">
        <v>3864526.96</v>
      </c>
      <c r="H13" s="22">
        <v>3135499.35</v>
      </c>
      <c r="I13" s="22">
        <v>3215423.5</v>
      </c>
      <c r="J13" s="22">
        <v>2884163.03</v>
      </c>
      <c r="K13" s="31">
        <f t="shared" si="0"/>
        <v>27082224.890000004</v>
      </c>
    </row>
    <row r="14" spans="1:13" ht="12" customHeight="1" x14ac:dyDescent="0.2">
      <c r="A14" s="15" t="s">
        <v>40</v>
      </c>
      <c r="B14" s="22">
        <v>29223303.32</v>
      </c>
      <c r="C14" s="24"/>
      <c r="D14" s="22">
        <v>1407408.86</v>
      </c>
      <c r="E14" s="22"/>
      <c r="F14" s="23"/>
      <c r="G14" s="22">
        <v>6814600.6799999997</v>
      </c>
      <c r="H14" s="22">
        <v>6581705.3700000001</v>
      </c>
      <c r="I14" s="22">
        <v>9960765.75</v>
      </c>
      <c r="J14" s="22">
        <v>6082584.6399999997</v>
      </c>
      <c r="K14" s="31">
        <f t="shared" si="0"/>
        <v>60070368.619999997</v>
      </c>
    </row>
    <row r="15" spans="1:13" ht="12" customHeight="1" x14ac:dyDescent="0.2">
      <c r="A15" s="15" t="s">
        <v>118</v>
      </c>
      <c r="B15" s="22">
        <f>B16+B17</f>
        <v>25046241.390000001</v>
      </c>
      <c r="C15" s="22">
        <f t="shared" ref="C15:E15" si="1">C16+C17</f>
        <v>0</v>
      </c>
      <c r="D15" s="22">
        <f t="shared" si="1"/>
        <v>2079466.6</v>
      </c>
      <c r="E15" s="22">
        <f t="shared" si="1"/>
        <v>529810.43000000005</v>
      </c>
      <c r="F15" s="23"/>
      <c r="G15" s="22">
        <f>G16+G17</f>
        <v>6743962.1799999997</v>
      </c>
      <c r="H15" s="22">
        <f t="shared" ref="H15:J15" si="2">H16+H17</f>
        <v>6516570.4800000004</v>
      </c>
      <c r="I15" s="22">
        <f t="shared" si="2"/>
        <v>8202908.6699999999</v>
      </c>
      <c r="J15" s="22">
        <f t="shared" si="2"/>
        <v>6312834.5399999991</v>
      </c>
      <c r="K15" s="22">
        <f>K16+K17</f>
        <v>55431794.289999999</v>
      </c>
    </row>
    <row r="16" spans="1:13" ht="12" customHeight="1" x14ac:dyDescent="0.2">
      <c r="A16" s="34" t="s">
        <v>116</v>
      </c>
      <c r="B16" s="22">
        <v>11195077.65</v>
      </c>
      <c r="C16" s="24"/>
      <c r="D16" s="22">
        <v>1379001.77</v>
      </c>
      <c r="E16" s="22">
        <v>529810.43000000005</v>
      </c>
      <c r="F16" s="23"/>
      <c r="G16" s="22">
        <v>2627257.75</v>
      </c>
      <c r="H16" s="22">
        <v>2479528.98</v>
      </c>
      <c r="I16" s="22">
        <v>3536954.18</v>
      </c>
      <c r="J16" s="22">
        <v>3426087.53</v>
      </c>
      <c r="K16" s="31">
        <f t="shared" si="0"/>
        <v>25173718.289999999</v>
      </c>
    </row>
    <row r="17" spans="1:13" ht="12" customHeight="1" x14ac:dyDescent="0.2">
      <c r="A17" s="34" t="s">
        <v>117</v>
      </c>
      <c r="B17" s="22">
        <v>13851163.74</v>
      </c>
      <c r="C17" s="24"/>
      <c r="D17" s="22">
        <v>700464.83</v>
      </c>
      <c r="E17" s="22"/>
      <c r="F17" s="23"/>
      <c r="G17" s="22">
        <v>4116704.43</v>
      </c>
      <c r="H17" s="22">
        <v>4037041.5</v>
      </c>
      <c r="I17" s="22">
        <v>4665954.49</v>
      </c>
      <c r="J17" s="22">
        <v>2886747.01</v>
      </c>
      <c r="K17" s="31">
        <f>SUM(B17:J17)</f>
        <v>30258076</v>
      </c>
    </row>
    <row r="18" spans="1:13" ht="12" customHeight="1" x14ac:dyDescent="0.2">
      <c r="A18" s="34" t="s">
        <v>79</v>
      </c>
      <c r="B18" s="22">
        <v>4947233.51</v>
      </c>
      <c r="C18" s="22"/>
      <c r="D18" s="22">
        <v>225.59</v>
      </c>
      <c r="E18" s="24"/>
      <c r="F18" s="23"/>
      <c r="G18" s="22">
        <v>1165523.3899999999</v>
      </c>
      <c r="H18" s="22">
        <v>1097052.3799999999</v>
      </c>
      <c r="I18" s="22">
        <v>1587409.4</v>
      </c>
      <c r="J18" s="22">
        <v>918154.74</v>
      </c>
      <c r="K18" s="31">
        <f t="shared" si="0"/>
        <v>9715599.0099999998</v>
      </c>
    </row>
    <row r="19" spans="1:13" ht="12" customHeight="1" x14ac:dyDescent="0.2">
      <c r="A19" s="34" t="s">
        <v>80</v>
      </c>
      <c r="B19" s="22">
        <v>19510489.079999998</v>
      </c>
      <c r="C19" s="22">
        <v>8372.64</v>
      </c>
      <c r="D19" s="22">
        <v>1667971.19</v>
      </c>
      <c r="E19" s="22"/>
      <c r="F19" s="23"/>
      <c r="G19" s="22">
        <v>5335686.1399999997</v>
      </c>
      <c r="H19" s="22">
        <v>5261280.37</v>
      </c>
      <c r="I19" s="22">
        <v>5628376.75</v>
      </c>
      <c r="J19" s="22">
        <v>4945866.24</v>
      </c>
      <c r="K19" s="31">
        <f t="shared" si="0"/>
        <v>42358042.410000004</v>
      </c>
    </row>
    <row r="20" spans="1:13" ht="12" customHeight="1" x14ac:dyDescent="0.2">
      <c r="A20" s="15" t="s">
        <v>41</v>
      </c>
      <c r="B20" s="22">
        <v>17234498.699999999</v>
      </c>
      <c r="C20" s="22"/>
      <c r="D20" s="22">
        <v>1980321.44</v>
      </c>
      <c r="E20" s="22"/>
      <c r="F20" s="23"/>
      <c r="G20" s="22">
        <v>3250497.16</v>
      </c>
      <c r="H20" s="22">
        <v>3368041.2</v>
      </c>
      <c r="I20" s="22">
        <v>5583449.4199999999</v>
      </c>
      <c r="J20" s="22">
        <v>4201664.1500000004</v>
      </c>
      <c r="K20" s="31">
        <f t="shared" si="0"/>
        <v>35618472.07</v>
      </c>
    </row>
    <row r="21" spans="1:13" ht="12" customHeight="1" x14ac:dyDescent="0.2">
      <c r="A21" s="34" t="s">
        <v>82</v>
      </c>
      <c r="B21" s="22">
        <v>30309520.66</v>
      </c>
      <c r="C21" s="22">
        <v>360526.87</v>
      </c>
      <c r="D21" s="22"/>
      <c r="E21" s="22"/>
      <c r="F21" s="23"/>
      <c r="G21" s="22">
        <v>23148587.620000001</v>
      </c>
      <c r="H21" s="22">
        <v>5339232.8</v>
      </c>
      <c r="I21" s="22">
        <v>15310007.16</v>
      </c>
      <c r="J21" s="22">
        <v>7922915.1299999999</v>
      </c>
      <c r="K21" s="31">
        <f t="shared" si="0"/>
        <v>82390790.239999995</v>
      </c>
    </row>
    <row r="22" spans="1:13" ht="12" customHeight="1" x14ac:dyDescent="0.2">
      <c r="A22" s="34" t="s">
        <v>83</v>
      </c>
      <c r="B22" s="22">
        <v>20468079.780000001</v>
      </c>
      <c r="C22" s="24"/>
      <c r="D22" s="22">
        <v>907656.86</v>
      </c>
      <c r="E22" s="22"/>
      <c r="F22" s="23"/>
      <c r="G22" s="22">
        <v>7605469.4800000004</v>
      </c>
      <c r="H22" s="22">
        <v>6295469.71</v>
      </c>
      <c r="I22" s="22">
        <v>7499101.1699999999</v>
      </c>
      <c r="J22" s="22">
        <v>6677832.46</v>
      </c>
      <c r="K22" s="31">
        <f t="shared" si="0"/>
        <v>49453609.460000001</v>
      </c>
    </row>
    <row r="23" spans="1:13" ht="12" customHeight="1" x14ac:dyDescent="0.2">
      <c r="A23" s="34" t="s">
        <v>84</v>
      </c>
      <c r="B23" s="22">
        <v>7484136.0300000003</v>
      </c>
      <c r="C23" s="22">
        <v>6254.52</v>
      </c>
      <c r="D23" s="22">
        <v>160122.65</v>
      </c>
      <c r="E23" s="22">
        <v>24065.66</v>
      </c>
      <c r="F23" s="23"/>
      <c r="G23" s="22">
        <v>2311444.2999999998</v>
      </c>
      <c r="H23" s="22">
        <v>1435083.22</v>
      </c>
      <c r="I23" s="22">
        <v>2635599.94</v>
      </c>
      <c r="J23" s="22">
        <v>1681563.03</v>
      </c>
      <c r="K23" s="31">
        <f t="shared" si="0"/>
        <v>15738269.35</v>
      </c>
    </row>
    <row r="24" spans="1:13" ht="12" customHeight="1" x14ac:dyDescent="0.2">
      <c r="A24" s="34" t="s">
        <v>85</v>
      </c>
      <c r="B24" s="22">
        <v>19361698.98</v>
      </c>
      <c r="C24" s="24">
        <v>354671.95</v>
      </c>
      <c r="D24" s="22">
        <v>1363762.33</v>
      </c>
      <c r="E24" s="22"/>
      <c r="F24" s="23"/>
      <c r="G24" s="22">
        <v>4639598.78</v>
      </c>
      <c r="H24" s="22">
        <v>5917200.8700000001</v>
      </c>
      <c r="I24" s="22">
        <v>6452882.04</v>
      </c>
      <c r="J24" s="22">
        <v>3880078.39</v>
      </c>
      <c r="K24" s="31">
        <f t="shared" si="0"/>
        <v>41969893.340000004</v>
      </c>
    </row>
    <row r="25" spans="1:13" ht="12" customHeight="1" x14ac:dyDescent="0.2">
      <c r="A25" s="15" t="s">
        <v>42</v>
      </c>
      <c r="B25" s="22">
        <v>34358507.399999999</v>
      </c>
      <c r="C25" s="22">
        <v>12024.63</v>
      </c>
      <c r="D25" s="22">
        <v>745627.23</v>
      </c>
      <c r="E25" s="22">
        <v>3372106.45</v>
      </c>
      <c r="F25" s="23"/>
      <c r="G25" s="22">
        <v>12631375.140000001</v>
      </c>
      <c r="H25" s="22">
        <v>8619490.5700000003</v>
      </c>
      <c r="I25" s="22">
        <v>7509015.3200000003</v>
      </c>
      <c r="J25" s="22">
        <v>8200016</v>
      </c>
      <c r="K25" s="31">
        <f>SUM(B25:J25)</f>
        <v>75448162.74000001</v>
      </c>
    </row>
    <row r="26" spans="1:13" ht="12" customHeight="1" x14ac:dyDescent="0.2">
      <c r="A26" s="15" t="s">
        <v>43</v>
      </c>
      <c r="B26" s="22">
        <v>87318665.069999993</v>
      </c>
      <c r="C26" s="22">
        <v>1072058.08</v>
      </c>
      <c r="D26" s="22">
        <v>2237616.58</v>
      </c>
      <c r="E26" s="22">
        <f>6951700.46+1394124.01</f>
        <v>8345824.4699999997</v>
      </c>
      <c r="F26" s="23"/>
      <c r="G26" s="22">
        <v>30230665.890000001</v>
      </c>
      <c r="H26" s="22">
        <v>20092964.73</v>
      </c>
      <c r="I26" s="22">
        <v>22312032.890000001</v>
      </c>
      <c r="J26" s="22">
        <v>17474160.57</v>
      </c>
      <c r="K26" s="31">
        <f t="shared" si="0"/>
        <v>189083988.27999997</v>
      </c>
    </row>
    <row r="27" spans="1:13" ht="12" customHeight="1" x14ac:dyDescent="0.2">
      <c r="A27" s="15" t="s">
        <v>44</v>
      </c>
      <c r="B27" s="22">
        <v>11134912.800000001</v>
      </c>
      <c r="C27" s="22">
        <v>3500</v>
      </c>
      <c r="D27" s="22">
        <v>1209222.4099999999</v>
      </c>
      <c r="E27" s="22">
        <v>290938.07</v>
      </c>
      <c r="F27" s="23"/>
      <c r="G27" s="22">
        <v>2785868.77</v>
      </c>
      <c r="H27" s="22">
        <v>3678312.92</v>
      </c>
      <c r="I27" s="22">
        <v>3100047.52</v>
      </c>
      <c r="J27" s="22">
        <v>2654268.33</v>
      </c>
      <c r="K27" s="31">
        <f t="shared" si="0"/>
        <v>24857070.82</v>
      </c>
    </row>
    <row r="28" spans="1:13" ht="12" customHeight="1" x14ac:dyDescent="0.2">
      <c r="A28" s="15" t="s">
        <v>120</v>
      </c>
      <c r="B28" s="24"/>
      <c r="C28" s="22">
        <v>20077</v>
      </c>
      <c r="D28" s="22"/>
      <c r="E28" s="24"/>
      <c r="F28" s="23"/>
      <c r="G28" s="22">
        <v>1759936</v>
      </c>
      <c r="H28" s="22">
        <v>2289190</v>
      </c>
      <c r="I28" s="22">
        <v>13318116</v>
      </c>
      <c r="J28" s="22">
        <v>736166</v>
      </c>
      <c r="K28" s="31">
        <f t="shared" si="0"/>
        <v>18123485</v>
      </c>
    </row>
    <row r="29" spans="1:13" x14ac:dyDescent="0.2">
      <c r="A29" s="34" t="s">
        <v>86</v>
      </c>
      <c r="B29" s="22">
        <v>29499896.829999998</v>
      </c>
      <c r="C29" s="24">
        <v>85650.17</v>
      </c>
      <c r="D29" s="22">
        <v>841255.58</v>
      </c>
      <c r="E29" s="22"/>
      <c r="F29" s="23"/>
      <c r="G29" s="22">
        <v>10541845.02</v>
      </c>
      <c r="H29" s="22">
        <v>5580444.3099999996</v>
      </c>
      <c r="I29" s="22">
        <v>8503723.4600000009</v>
      </c>
      <c r="J29" s="22">
        <v>6032983.1399999997</v>
      </c>
      <c r="K29" s="31">
        <f t="shared" si="0"/>
        <v>61085798.509999998</v>
      </c>
    </row>
    <row r="30" spans="1:13" ht="12" customHeight="1" x14ac:dyDescent="0.2">
      <c r="A30" s="34" t="s">
        <v>87</v>
      </c>
      <c r="B30" s="22">
        <v>18420336.219999999</v>
      </c>
      <c r="C30" s="22">
        <v>2302.27</v>
      </c>
      <c r="D30" s="22">
        <v>49.45</v>
      </c>
      <c r="E30" s="24"/>
      <c r="F30" s="23"/>
      <c r="G30" s="22">
        <v>7351410.7599999998</v>
      </c>
      <c r="H30" s="22">
        <v>4441856.54</v>
      </c>
      <c r="I30" s="22">
        <v>5966640.3799999999</v>
      </c>
      <c r="J30" s="22">
        <v>4696717.68</v>
      </c>
      <c r="K30" s="31">
        <f t="shared" si="0"/>
        <v>40879313.299999997</v>
      </c>
    </row>
    <row r="31" spans="1:13" ht="12" customHeight="1" x14ac:dyDescent="0.2">
      <c r="A31" s="15" t="s">
        <v>45</v>
      </c>
      <c r="B31" s="25">
        <f>SUM(B32:B36)</f>
        <v>17765637.349999998</v>
      </c>
      <c r="C31" s="25">
        <f>SUM(C32:C36)</f>
        <v>0</v>
      </c>
      <c r="D31" s="25">
        <f>SUM(D32:D36)</f>
        <v>739050.97000000009</v>
      </c>
      <c r="E31" s="25">
        <f>SUM(E32:E36)</f>
        <v>671558.49</v>
      </c>
      <c r="G31" s="25">
        <f>SUM(G32:G36)</f>
        <v>3449109.67</v>
      </c>
      <c r="H31" s="25">
        <f>SUM(H32:H36)</f>
        <v>5045744.2</v>
      </c>
      <c r="I31" s="25">
        <f>SUM(I32:I36)</f>
        <v>6759998.8200000003</v>
      </c>
      <c r="J31" s="25">
        <f>SUM(J32:J36)</f>
        <v>5221759.84</v>
      </c>
      <c r="K31" s="31">
        <f t="shared" si="0"/>
        <v>39652859.340000004</v>
      </c>
    </row>
    <row r="32" spans="1:13" ht="14.25" customHeight="1" x14ac:dyDescent="0.2">
      <c r="A32" s="34" t="s">
        <v>88</v>
      </c>
      <c r="B32" s="22">
        <v>5887431.8600000003</v>
      </c>
      <c r="C32" s="24"/>
      <c r="D32" s="22">
        <v>465176.74</v>
      </c>
      <c r="E32" s="22">
        <v>22666.19</v>
      </c>
      <c r="F32" s="23"/>
      <c r="G32" s="22">
        <v>1232886.52</v>
      </c>
      <c r="H32" s="22">
        <v>1121064.71</v>
      </c>
      <c r="I32" s="22">
        <v>2176657.85</v>
      </c>
      <c r="J32" s="22">
        <v>1593268.27</v>
      </c>
      <c r="K32" s="31">
        <f t="shared" si="0"/>
        <v>12499152.139999999</v>
      </c>
      <c r="M32" s="45"/>
    </row>
    <row r="33" spans="1:11" ht="12" customHeight="1" x14ac:dyDescent="0.2">
      <c r="A33" s="34" t="s">
        <v>89</v>
      </c>
      <c r="B33" s="22">
        <v>3976141.41</v>
      </c>
      <c r="C33" s="22"/>
      <c r="D33" s="22">
        <v>98215.15</v>
      </c>
      <c r="E33" s="22">
        <v>241380.61</v>
      </c>
      <c r="F33" s="23"/>
      <c r="G33" s="22">
        <v>733540.97</v>
      </c>
      <c r="H33" s="22">
        <v>1278486.48</v>
      </c>
      <c r="I33" s="22">
        <v>1337604.71</v>
      </c>
      <c r="J33" s="22">
        <v>1448606.44</v>
      </c>
      <c r="K33" s="31">
        <f t="shared" si="0"/>
        <v>9113975.7699999996</v>
      </c>
    </row>
    <row r="34" spans="1:11" ht="12" customHeight="1" x14ac:dyDescent="0.2">
      <c r="A34" s="34" t="s">
        <v>46</v>
      </c>
      <c r="B34" s="22">
        <v>4474292.8099999996</v>
      </c>
      <c r="C34" s="24"/>
      <c r="D34" s="22">
        <v>97632.16</v>
      </c>
      <c r="E34" s="22">
        <v>212656.94</v>
      </c>
      <c r="F34" s="23"/>
      <c r="G34" s="22">
        <v>700927.09</v>
      </c>
      <c r="H34" s="22">
        <v>1156320.6200000001</v>
      </c>
      <c r="I34" s="22">
        <v>1500325.14</v>
      </c>
      <c r="J34" s="22">
        <v>1388997.58</v>
      </c>
      <c r="K34" s="31">
        <f t="shared" si="0"/>
        <v>9531152.3399999999</v>
      </c>
    </row>
    <row r="35" spans="1:11" ht="12" customHeight="1" x14ac:dyDescent="0.2">
      <c r="A35" s="34" t="s">
        <v>90</v>
      </c>
      <c r="B35" s="22">
        <v>898661.95</v>
      </c>
      <c r="C35" s="22"/>
      <c r="D35" s="22">
        <v>2691.25</v>
      </c>
      <c r="E35" s="22">
        <v>194854.75</v>
      </c>
      <c r="F35" s="23"/>
      <c r="G35" s="22">
        <v>231290.77</v>
      </c>
      <c r="H35" s="22">
        <v>443974.57</v>
      </c>
      <c r="I35" s="22">
        <v>805650.67</v>
      </c>
      <c r="J35" s="22">
        <v>312625.74</v>
      </c>
      <c r="K35" s="31">
        <f t="shared" si="0"/>
        <v>2889749.7</v>
      </c>
    </row>
    <row r="36" spans="1:11" ht="12" customHeight="1" x14ac:dyDescent="0.2">
      <c r="A36" s="34" t="s">
        <v>91</v>
      </c>
      <c r="B36" s="22">
        <v>2529109.3199999998</v>
      </c>
      <c r="C36" s="24"/>
      <c r="D36" s="22">
        <v>75335.67</v>
      </c>
      <c r="E36" s="24"/>
      <c r="F36" s="23"/>
      <c r="G36" s="22">
        <v>550464.31999999995</v>
      </c>
      <c r="H36" s="22">
        <v>1045897.82</v>
      </c>
      <c r="I36" s="22">
        <v>939760.45</v>
      </c>
      <c r="J36" s="22">
        <v>478261.81</v>
      </c>
      <c r="K36" s="31">
        <f t="shared" si="0"/>
        <v>5618829.3899999997</v>
      </c>
    </row>
    <row r="37" spans="1:11" ht="12" customHeight="1" x14ac:dyDescent="0.2">
      <c r="A37" s="15" t="s">
        <v>47</v>
      </c>
      <c r="B37" s="24">
        <v>8111.2</v>
      </c>
      <c r="C37" s="22"/>
      <c r="D37" s="22"/>
      <c r="E37" s="24">
        <v>75210.89</v>
      </c>
      <c r="F37" s="23"/>
      <c r="G37" s="22">
        <v>779797.29</v>
      </c>
      <c r="H37" s="26">
        <v>119252.33</v>
      </c>
      <c r="I37" s="22">
        <v>332680.58</v>
      </c>
      <c r="J37" s="26">
        <v>-5263.19</v>
      </c>
      <c r="K37" s="31">
        <f>SUM(B37:J37)</f>
        <v>1309789.1000000001</v>
      </c>
    </row>
    <row r="38" spans="1:11" ht="12" customHeight="1" x14ac:dyDescent="0.2">
      <c r="A38" s="34" t="s">
        <v>92</v>
      </c>
      <c r="B38" s="22">
        <v>12147319.130000001</v>
      </c>
      <c r="C38" s="22">
        <v>136403.85999999999</v>
      </c>
      <c r="D38" s="22">
        <v>223722.68</v>
      </c>
      <c r="E38" s="22">
        <v>342252.25</v>
      </c>
      <c r="F38" s="23"/>
      <c r="G38" s="22">
        <v>3639730.19</v>
      </c>
      <c r="H38" s="22">
        <v>3050098.2</v>
      </c>
      <c r="I38" s="22">
        <v>3279365.36</v>
      </c>
      <c r="J38" s="22">
        <v>2627914.46</v>
      </c>
      <c r="K38" s="31">
        <f t="shared" si="0"/>
        <v>25446806.129999999</v>
      </c>
    </row>
    <row r="39" spans="1:11" ht="12" customHeight="1" x14ac:dyDescent="0.2">
      <c r="A39" s="34" t="s">
        <v>93</v>
      </c>
      <c r="B39" s="22">
        <v>3838966.6</v>
      </c>
      <c r="C39" s="24"/>
      <c r="D39" s="22">
        <v>425219.65</v>
      </c>
      <c r="E39" s="22"/>
      <c r="F39" s="23"/>
      <c r="G39" s="22">
        <v>1126133.72</v>
      </c>
      <c r="H39" s="22">
        <v>1235395.4099999999</v>
      </c>
      <c r="I39" s="22">
        <v>1577131.8</v>
      </c>
      <c r="J39" s="22">
        <v>620855.02</v>
      </c>
      <c r="K39" s="31">
        <f t="shared" si="0"/>
        <v>8823702.1999999993</v>
      </c>
    </row>
    <row r="40" spans="1:11" ht="12" customHeight="1" x14ac:dyDescent="0.2">
      <c r="A40" s="34" t="s">
        <v>48</v>
      </c>
      <c r="B40" s="22">
        <v>16648170.07</v>
      </c>
      <c r="C40" s="24"/>
      <c r="D40" s="22">
        <v>1802483.18</v>
      </c>
      <c r="E40" s="22"/>
      <c r="F40" s="23"/>
      <c r="G40" s="22">
        <v>3177056.62</v>
      </c>
      <c r="H40" s="22">
        <v>3627282.92</v>
      </c>
      <c r="I40" s="22">
        <v>4374712.78</v>
      </c>
      <c r="J40" s="22">
        <v>3460354.64</v>
      </c>
      <c r="K40" s="31">
        <f t="shared" si="0"/>
        <v>33090060.210000001</v>
      </c>
    </row>
    <row r="41" spans="1:11" ht="12" customHeight="1" x14ac:dyDescent="0.2">
      <c r="A41" s="34" t="s">
        <v>94</v>
      </c>
      <c r="B41" s="22">
        <v>11108329.43</v>
      </c>
      <c r="C41" s="24"/>
      <c r="D41" s="22">
        <v>720442.13</v>
      </c>
      <c r="E41" s="22">
        <v>70388.97</v>
      </c>
      <c r="F41" s="23"/>
      <c r="G41" s="22">
        <v>3211116.39</v>
      </c>
      <c r="H41" s="22">
        <v>3630285.57</v>
      </c>
      <c r="I41" s="22">
        <v>3857013.4</v>
      </c>
      <c r="J41" s="22">
        <v>2509327.14</v>
      </c>
      <c r="K41" s="31">
        <f t="shared" si="0"/>
        <v>25106903.030000001</v>
      </c>
    </row>
    <row r="42" spans="1:11" ht="12" customHeight="1" x14ac:dyDescent="0.2">
      <c r="A42" s="34" t="s">
        <v>95</v>
      </c>
      <c r="B42" s="22">
        <v>18509137.73</v>
      </c>
      <c r="C42" s="24"/>
      <c r="D42" s="22">
        <v>772791.05</v>
      </c>
      <c r="E42" s="22">
        <v>182243.61</v>
      </c>
      <c r="F42" s="23"/>
      <c r="G42" s="22">
        <v>5947132.4299999997</v>
      </c>
      <c r="H42" s="22">
        <v>3527184.52</v>
      </c>
      <c r="I42" s="22">
        <v>5717423.5899999999</v>
      </c>
      <c r="J42" s="22">
        <v>5907209.7000000002</v>
      </c>
      <c r="K42" s="31">
        <f t="shared" si="0"/>
        <v>40563122.630000003</v>
      </c>
    </row>
    <row r="43" spans="1:11" ht="12" customHeight="1" x14ac:dyDescent="0.2">
      <c r="A43" s="34" t="s">
        <v>51</v>
      </c>
      <c r="B43" s="22">
        <v>21876731.449999999</v>
      </c>
      <c r="C43" s="22"/>
      <c r="D43" s="22">
        <v>1001320.25</v>
      </c>
      <c r="E43" s="22"/>
      <c r="F43" s="23"/>
      <c r="G43" s="22">
        <v>5034513.93</v>
      </c>
      <c r="H43" s="22">
        <v>5746901.9100000001</v>
      </c>
      <c r="I43" s="22">
        <v>6914746.1100000003</v>
      </c>
      <c r="J43" s="22">
        <v>5348710.9000000004</v>
      </c>
      <c r="K43" s="31">
        <f t="shared" si="0"/>
        <v>45922924.549999997</v>
      </c>
    </row>
    <row r="44" spans="1:11" ht="12" customHeight="1" x14ac:dyDescent="0.2">
      <c r="A44" s="34" t="s">
        <v>65</v>
      </c>
      <c r="B44" s="22">
        <v>12696530.439999999</v>
      </c>
      <c r="C44" s="24"/>
      <c r="D44" s="22">
        <v>1556202.34</v>
      </c>
      <c r="E44" s="22">
        <v>172029.98</v>
      </c>
      <c r="F44" s="23"/>
      <c r="G44" s="22">
        <v>3845404.12</v>
      </c>
      <c r="H44" s="22">
        <v>3720316.95</v>
      </c>
      <c r="I44" s="22">
        <v>4793939.49</v>
      </c>
      <c r="J44" s="22">
        <v>2441169.9199999999</v>
      </c>
      <c r="K44" s="31">
        <f t="shared" si="0"/>
        <v>29225593.240000002</v>
      </c>
    </row>
    <row r="45" spans="1:11" ht="12" customHeight="1" x14ac:dyDescent="0.2">
      <c r="A45" s="34" t="s">
        <v>96</v>
      </c>
      <c r="B45" s="22">
        <v>16961840.620000001</v>
      </c>
      <c r="C45" s="22">
        <v>117433.91</v>
      </c>
      <c r="D45" s="22">
        <v>216048.67</v>
      </c>
      <c r="E45" s="22">
        <v>3200327.22</v>
      </c>
      <c r="F45" s="23"/>
      <c r="G45" s="22">
        <v>5142395.0599999996</v>
      </c>
      <c r="H45" s="22">
        <v>5623051.9699999997</v>
      </c>
      <c r="I45" s="22">
        <v>7118906.3399999999</v>
      </c>
      <c r="J45" s="22">
        <v>4184728.33</v>
      </c>
      <c r="K45" s="31">
        <f t="shared" si="0"/>
        <v>42564732.119999997</v>
      </c>
    </row>
    <row r="46" spans="1:11" ht="12" customHeight="1" x14ac:dyDescent="0.2">
      <c r="A46" s="34" t="s">
        <v>97</v>
      </c>
      <c r="B46" s="22">
        <v>71287616.849999994</v>
      </c>
      <c r="C46" s="22">
        <v>1080577.3999999999</v>
      </c>
      <c r="D46" s="22">
        <v>1477697.99</v>
      </c>
      <c r="E46" s="22">
        <f>5091074.61+62071.17</f>
        <v>5153145.78</v>
      </c>
      <c r="F46" s="23"/>
      <c r="G46" s="22">
        <v>20388054.93</v>
      </c>
      <c r="H46" s="22">
        <v>11616351.539999999</v>
      </c>
      <c r="I46" s="22">
        <v>22131616.620000001</v>
      </c>
      <c r="J46" s="22">
        <v>15180061.050000001</v>
      </c>
      <c r="K46" s="31">
        <f t="shared" si="0"/>
        <v>148315122.16</v>
      </c>
    </row>
    <row r="47" spans="1:11" ht="12" customHeight="1" x14ac:dyDescent="0.2">
      <c r="A47" s="34" t="s">
        <v>98</v>
      </c>
      <c r="B47" s="22">
        <v>16829721.370000001</v>
      </c>
      <c r="C47" s="24"/>
      <c r="D47" s="22">
        <v>741838.98</v>
      </c>
      <c r="E47" s="22"/>
      <c r="F47" s="23"/>
      <c r="G47" s="22">
        <v>4111417.28</v>
      </c>
      <c r="H47" s="22">
        <v>3534101.21</v>
      </c>
      <c r="I47" s="22">
        <v>4279289.5599999996</v>
      </c>
      <c r="J47" s="22">
        <v>3419452.23</v>
      </c>
      <c r="K47" s="31">
        <f t="shared" si="0"/>
        <v>32915820.630000003</v>
      </c>
    </row>
    <row r="48" spans="1:11" ht="12" customHeight="1" x14ac:dyDescent="0.2">
      <c r="A48" s="34" t="s">
        <v>99</v>
      </c>
      <c r="B48" s="22">
        <v>48929035.469999999</v>
      </c>
      <c r="C48" s="22">
        <v>50716.18</v>
      </c>
      <c r="D48" s="22">
        <v>198225.61</v>
      </c>
      <c r="E48" s="22">
        <v>3338658.62</v>
      </c>
      <c r="F48" s="23"/>
      <c r="G48" s="22">
        <v>13905545.01</v>
      </c>
      <c r="H48" s="22">
        <v>7366811.6200000001</v>
      </c>
      <c r="I48" s="22">
        <v>17737862.550000001</v>
      </c>
      <c r="J48" s="22">
        <v>9912639.0800000001</v>
      </c>
      <c r="K48" s="31">
        <f t="shared" si="0"/>
        <v>101439494.13999999</v>
      </c>
    </row>
    <row r="50" spans="1:11" hidden="1" x14ac:dyDescent="0.2">
      <c r="A50" s="30" t="s">
        <v>49</v>
      </c>
      <c r="B50" s="17">
        <f>SUM(B6:B48)-B11-B12-B32-B33-B34-B35-B36-B8-B9-B16-B17</f>
        <v>706107162.74000013</v>
      </c>
      <c r="C50" s="17">
        <f t="shared" ref="C50:E50" si="3">SUM(C6:C48)-C11-C12-C32-C33-C34-C35-C36-C8-C9-C16-C17</f>
        <v>3316204.0700000003</v>
      </c>
      <c r="D50" s="17">
        <f t="shared" si="3"/>
        <v>27202824.109999996</v>
      </c>
      <c r="E50" s="17">
        <f t="shared" si="3"/>
        <v>31084005.869999997</v>
      </c>
      <c r="G50" s="17">
        <f t="shared" ref="G50:J50" si="4">SUM(G6:G48)-G11-G12-G32-G33-G34-G35-G36-G8-G9-G16-G17</f>
        <v>225441159.79999998</v>
      </c>
      <c r="H50" s="17">
        <f t="shared" si="4"/>
        <v>163497163.14999998</v>
      </c>
      <c r="I50" s="17">
        <f t="shared" si="4"/>
        <v>241192558.97000015</v>
      </c>
      <c r="J50" s="17">
        <f t="shared" si="4"/>
        <v>164906316.19000003</v>
      </c>
      <c r="K50" s="17">
        <f>SUM(K6:K48)-K11-K12-K32-K33-K34-K35-K36-K8-K9-K16-K17</f>
        <v>1562747394.9000008</v>
      </c>
    </row>
    <row r="52" spans="1:11" x14ac:dyDescent="0.2">
      <c r="A52" s="41" t="s">
        <v>169</v>
      </c>
    </row>
    <row r="53" spans="1:11" x14ac:dyDescent="0.2">
      <c r="A53" s="41"/>
    </row>
  </sheetData>
  <mergeCells count="1">
    <mergeCell ref="A3:K3"/>
  </mergeCells>
  <phoneticPr fontId="0" type="noConversion"/>
  <pageMargins left="0.36" right="0.11" top="0.45" bottom="0.17" header="0.19" footer="0.17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13130041.800000001</v>
      </c>
      <c r="C9" s="1">
        <f>'Master Expend Table'!C13</f>
        <v>0</v>
      </c>
      <c r="D9" s="1">
        <f>'Master Expend Table'!D13</f>
        <v>694376.44</v>
      </c>
      <c r="E9" s="1">
        <f>'Master Expend Table'!E13</f>
        <v>158193.81</v>
      </c>
      <c r="G9" s="1">
        <f>'Master Expend Table'!G13</f>
        <v>3864526.96</v>
      </c>
      <c r="H9" s="1">
        <f>'Master Expend Table'!H13</f>
        <v>3135499.35</v>
      </c>
      <c r="I9" s="1">
        <f>'Master Expend Table'!I13</f>
        <v>3215423.5</v>
      </c>
      <c r="J9" s="1">
        <f>'Master Expend Table'!J13</f>
        <v>2884163.03</v>
      </c>
      <c r="K9" s="1">
        <f>SUM(B9:J9)</f>
        <v>27082224.890000004</v>
      </c>
    </row>
    <row r="11" spans="1:11" x14ac:dyDescent="0.2">
      <c r="A11" t="s">
        <v>3</v>
      </c>
      <c r="B11" s="1">
        <f>(B9/($K9-$J9))*-$J$11</f>
        <v>1564967.5317391162</v>
      </c>
      <c r="C11" s="1">
        <f t="shared" ref="C11:I11" si="0">(C9/($K9-$J9))*-$J$11</f>
        <v>0</v>
      </c>
      <c r="D11" s="1">
        <f t="shared" si="0"/>
        <v>82762.614160496756</v>
      </c>
      <c r="E11" s="1">
        <f t="shared" si="0"/>
        <v>18855.09430534385</v>
      </c>
      <c r="G11" s="1">
        <f t="shared" si="0"/>
        <v>460612.33544058248</v>
      </c>
      <c r="H11" s="1">
        <f t="shared" si="0"/>
        <v>373719.65400286106</v>
      </c>
      <c r="I11" s="1">
        <f t="shared" si="0"/>
        <v>383245.800351599</v>
      </c>
      <c r="J11" s="1">
        <f>-J9</f>
        <v>-2884163.03</v>
      </c>
      <c r="K11" s="1">
        <v>0</v>
      </c>
    </row>
    <row r="12" spans="1:11" x14ac:dyDescent="0.2">
      <c r="A12" t="s">
        <v>4</v>
      </c>
      <c r="B12" s="1">
        <f>+B9+B11</f>
        <v>14695009.331739116</v>
      </c>
      <c r="C12" s="1">
        <f t="shared" ref="C12:J12" si="1">+C9+C11</f>
        <v>0</v>
      </c>
      <c r="D12" s="1">
        <f t="shared" si="1"/>
        <v>777139.05416049669</v>
      </c>
      <c r="E12" s="1">
        <f t="shared" si="1"/>
        <v>177048.90430534384</v>
      </c>
      <c r="G12" s="1">
        <f t="shared" si="1"/>
        <v>4325139.2954405826</v>
      </c>
      <c r="H12" s="1">
        <f t="shared" si="1"/>
        <v>3509219.0040028612</v>
      </c>
      <c r="I12" s="1">
        <f t="shared" si="1"/>
        <v>3598669.3003515992</v>
      </c>
      <c r="J12" s="1">
        <f t="shared" si="1"/>
        <v>0</v>
      </c>
      <c r="K12" s="1">
        <f>SUM(B12:J12)</f>
        <v>27082224.890000001</v>
      </c>
    </row>
    <row r="14" spans="1:11" x14ac:dyDescent="0.2">
      <c r="A14" t="s">
        <v>5</v>
      </c>
      <c r="B14" s="1">
        <f>B$9/($K$9-$J$9-$I$9)*-I14</f>
        <v>2251894.0434139594</v>
      </c>
      <c r="C14" s="1">
        <f t="shared" ref="C14:H14" si="2">C$9/($K$9-$J$9-$I$9)*-$I$14</f>
        <v>0</v>
      </c>
      <c r="D14" s="1">
        <f t="shared" si="2"/>
        <v>119090.41821351934</v>
      </c>
      <c r="E14" s="1">
        <f t="shared" si="2"/>
        <v>27131.345343010227</v>
      </c>
      <c r="G14" s="1">
        <f t="shared" si="2"/>
        <v>662793.41485696228</v>
      </c>
      <c r="H14" s="1">
        <f t="shared" si="2"/>
        <v>537760.07852414763</v>
      </c>
      <c r="I14" s="1">
        <f>-I12</f>
        <v>-3598669.3003515992</v>
      </c>
      <c r="K14" s="1">
        <v>0</v>
      </c>
    </row>
    <row r="15" spans="1:11" x14ac:dyDescent="0.2">
      <c r="A15" t="s">
        <v>4</v>
      </c>
      <c r="B15" s="1">
        <f>+B12+B14</f>
        <v>16946903.375153076</v>
      </c>
      <c r="C15" s="1">
        <f>+C12+C14</f>
        <v>0</v>
      </c>
      <c r="D15" s="1">
        <f>+D12+D14</f>
        <v>896229.47237401607</v>
      </c>
      <c r="E15" s="1">
        <f>+E12+E14</f>
        <v>204180.24964835407</v>
      </c>
      <c r="G15" s="1">
        <f>+G12+G14</f>
        <v>4987932.7102975445</v>
      </c>
      <c r="H15" s="1">
        <f>+H12+H14</f>
        <v>4046979.0825270088</v>
      </c>
      <c r="I15" s="1">
        <f>+I12+I14</f>
        <v>0</v>
      </c>
      <c r="J15" s="1">
        <f>+J12+J14</f>
        <v>0</v>
      </c>
      <c r="K15" s="1">
        <f>SUM(B15:J15)</f>
        <v>27082224.889999997</v>
      </c>
    </row>
    <row r="17" spans="1:11" x14ac:dyDescent="0.2">
      <c r="A17" t="s">
        <v>6</v>
      </c>
      <c r="B17" s="1">
        <f>B$9/($K$9-$J$9-$I$9-$H$9)*-$H$17</f>
        <v>2977340.2049220256</v>
      </c>
      <c r="C17" s="1">
        <f>C$9/($K$9-$J$9-$I$9-$H$9)*-$H$17</f>
        <v>0</v>
      </c>
      <c r="D17" s="1">
        <f>D$9/($K$9-$J$9-$I$9-$H$9)*-$H$17</f>
        <v>157455.31687207776</v>
      </c>
      <c r="E17" s="1">
        <f>E$9/($K$9-$J$9-$I$9-$H$9)*-$H$17</f>
        <v>35871.690117756967</v>
      </c>
      <c r="G17" s="1">
        <f>G$9/($K$9-$J$9-$I$9-$H$9)*-$H$17</f>
        <v>876311.87061514845</v>
      </c>
      <c r="H17" s="1">
        <f>-H15</f>
        <v>-4046979.0825270088</v>
      </c>
      <c r="K17" s="1">
        <v>0</v>
      </c>
    </row>
    <row r="18" spans="1:11" x14ac:dyDescent="0.2">
      <c r="A18" t="s">
        <v>4</v>
      </c>
      <c r="B18" s="1">
        <f>+B15+B17</f>
        <v>19924243.5800751</v>
      </c>
      <c r="C18" s="1">
        <f>+C15+C17</f>
        <v>0</v>
      </c>
      <c r="D18" s="1">
        <f>+D15+D17</f>
        <v>1053684.7892460939</v>
      </c>
      <c r="E18" s="1">
        <f>+E15+E17</f>
        <v>240051.93976611103</v>
      </c>
      <c r="G18" s="1">
        <f>+G15+G17</f>
        <v>5864244.5809126925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27082224.890000001</v>
      </c>
    </row>
    <row r="20" spans="1:11" x14ac:dyDescent="0.2">
      <c r="A20" t="s">
        <v>7</v>
      </c>
      <c r="B20" s="1">
        <f>B$9/($K$9-$J$9-$I$9-$H$9-$G$9)*-$G$20</f>
        <v>5506680.45408634</v>
      </c>
      <c r="C20" s="1">
        <f>C$9/($K$9-$J$9-$I$9-$H$9-$G$9)*-$G$20</f>
        <v>0</v>
      </c>
      <c r="D20" s="1">
        <f>D$9/($K$9-$J$9-$I$9-$H$9-$G$9)*-$G$20</f>
        <v>291218.35468384082</v>
      </c>
      <c r="E20" s="1">
        <f>E$9/($K$9-$J$9-$I$9-$H$9-$G$9)*-$G$20</f>
        <v>66345.772142511254</v>
      </c>
      <c r="G20" s="1">
        <f>-G18</f>
        <v>-5864244.5809126925</v>
      </c>
      <c r="K20" s="1">
        <f>SUM(B20:J20)</f>
        <v>0</v>
      </c>
    </row>
    <row r="22" spans="1:11" x14ac:dyDescent="0.2">
      <c r="A22" t="s">
        <v>8</v>
      </c>
      <c r="B22" s="1">
        <f>+B20+B18</f>
        <v>25430924.034161441</v>
      </c>
      <c r="C22" s="1">
        <f t="shared" ref="C22:K22" si="3">+C20+C18</f>
        <v>0</v>
      </c>
      <c r="D22" s="1">
        <f t="shared" si="3"/>
        <v>1344903.1439299348</v>
      </c>
      <c r="E22" s="1">
        <f t="shared" si="3"/>
        <v>306397.7119086223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27082224.890000001</v>
      </c>
    </row>
    <row r="27" spans="1:11" x14ac:dyDescent="0.2">
      <c r="A27" t="s">
        <v>9</v>
      </c>
      <c r="B27" s="1">
        <f>+B9</f>
        <v>13130041.800000001</v>
      </c>
    </row>
    <row r="28" spans="1:11" x14ac:dyDescent="0.2">
      <c r="A28" t="s">
        <v>10</v>
      </c>
      <c r="B28" s="1">
        <f>+B22-B27</f>
        <v>12300882.23416144</v>
      </c>
    </row>
    <row r="29" spans="1:11" x14ac:dyDescent="0.2">
      <c r="A29" s="29" t="s">
        <v>170</v>
      </c>
      <c r="B29" s="1">
        <v>2646</v>
      </c>
    </row>
    <row r="30" spans="1:11" x14ac:dyDescent="0.2">
      <c r="A30" t="s">
        <v>11</v>
      </c>
      <c r="B30" s="1">
        <f>+B28/B29</f>
        <v>4648.859498927226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D46" sqref="D46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29223303.32</v>
      </c>
      <c r="C9" s="1">
        <f>'Master Expend Table'!C14</f>
        <v>0</v>
      </c>
      <c r="D9" s="1">
        <f>'Master Expend Table'!D14</f>
        <v>1407408.86</v>
      </c>
      <c r="E9" s="1">
        <f>'Master Expend Table'!E14</f>
        <v>0</v>
      </c>
      <c r="G9" s="1">
        <f>'Master Expend Table'!G14</f>
        <v>6814600.6799999997</v>
      </c>
      <c r="H9" s="1">
        <f>'Master Expend Table'!H14</f>
        <v>6581705.3700000001</v>
      </c>
      <c r="I9" s="1">
        <f>'Master Expend Table'!I14</f>
        <v>9960765.75</v>
      </c>
      <c r="J9" s="1">
        <f>'Master Expend Table'!J14</f>
        <v>6082584.6399999997</v>
      </c>
      <c r="K9" s="1">
        <f>SUM(B9:J9)</f>
        <v>60070368.619999997</v>
      </c>
    </row>
    <row r="11" spans="1:11" x14ac:dyDescent="0.2">
      <c r="A11" t="s">
        <v>3</v>
      </c>
      <c r="B11" s="1">
        <f>(B9/($K9-$J9))*-$J$11</f>
        <v>3292471.0517872418</v>
      </c>
      <c r="C11" s="1">
        <f t="shared" ref="C11:I11" si="0">(C9/($K9-$J9))*-$J$11</f>
        <v>0</v>
      </c>
      <c r="D11" s="1">
        <f t="shared" si="0"/>
        <v>158567.04763446582</v>
      </c>
      <c r="E11" s="1">
        <f t="shared" si="0"/>
        <v>0</v>
      </c>
      <c r="G11" s="1">
        <f t="shared" si="0"/>
        <v>767773.41776534158</v>
      </c>
      <c r="H11" s="1">
        <f t="shared" si="0"/>
        <v>741534.0478393815</v>
      </c>
      <c r="I11" s="1">
        <f t="shared" si="0"/>
        <v>1122239.0749735693</v>
      </c>
      <c r="J11" s="1">
        <f>-J9</f>
        <v>-6082584.6399999997</v>
      </c>
      <c r="K11" s="1">
        <v>0</v>
      </c>
    </row>
    <row r="12" spans="1:11" x14ac:dyDescent="0.2">
      <c r="A12" t="s">
        <v>4</v>
      </c>
      <c r="B12" s="1">
        <f>+B9+B11</f>
        <v>32515774.371787243</v>
      </c>
      <c r="C12" s="1">
        <f t="shared" ref="C12:J12" si="1">+C9+C11</f>
        <v>0</v>
      </c>
      <c r="D12" s="1">
        <f t="shared" si="1"/>
        <v>1565975.907634466</v>
      </c>
      <c r="E12" s="1">
        <f t="shared" si="1"/>
        <v>0</v>
      </c>
      <c r="G12" s="1">
        <f t="shared" si="1"/>
        <v>7582374.0977653414</v>
      </c>
      <c r="H12" s="1">
        <f t="shared" si="1"/>
        <v>7323239.4178393818</v>
      </c>
      <c r="I12" s="1">
        <f t="shared" si="1"/>
        <v>11083004.824973568</v>
      </c>
      <c r="J12" s="1">
        <f t="shared" si="1"/>
        <v>0</v>
      </c>
      <c r="K12" s="1">
        <f>SUM(B12:J12)</f>
        <v>60070368.620000005</v>
      </c>
    </row>
    <row r="14" spans="1:11" x14ac:dyDescent="0.2">
      <c r="A14" t="s">
        <v>5</v>
      </c>
      <c r="B14" s="1">
        <f>B$9/($K$9-$J$9-$I$9)*-I14</f>
        <v>7356437.5857852902</v>
      </c>
      <c r="C14" s="1">
        <f t="shared" ref="C14:H14" si="2">C$9/($K$9-$J$9-$I$9)*-$I$14</f>
        <v>0</v>
      </c>
      <c r="D14" s="1">
        <f t="shared" si="2"/>
        <v>354289.70239601331</v>
      </c>
      <c r="E14" s="1">
        <f t="shared" si="2"/>
        <v>0</v>
      </c>
      <c r="G14" s="1">
        <f t="shared" si="2"/>
        <v>1715452.3575081583</v>
      </c>
      <c r="H14" s="1">
        <f t="shared" si="2"/>
        <v>1656825.1792841081</v>
      </c>
      <c r="I14" s="1">
        <f>-I12</f>
        <v>-11083004.824973568</v>
      </c>
      <c r="K14" s="1">
        <v>0</v>
      </c>
    </row>
    <row r="15" spans="1:11" x14ac:dyDescent="0.2">
      <c r="A15" t="s">
        <v>4</v>
      </c>
      <c r="B15" s="1">
        <f>+B12+B14</f>
        <v>39872211.957572535</v>
      </c>
      <c r="C15" s="1">
        <f>+C12+C14</f>
        <v>0</v>
      </c>
      <c r="D15" s="1">
        <f>+D12+D14</f>
        <v>1920265.6100304793</v>
      </c>
      <c r="E15" s="1">
        <f>+E12+E14</f>
        <v>0</v>
      </c>
      <c r="G15" s="1">
        <f>+G12+G14</f>
        <v>9297826.4552734997</v>
      </c>
      <c r="H15" s="1">
        <f>+H12+H14</f>
        <v>8980064.5971234906</v>
      </c>
      <c r="I15" s="1">
        <f>+I12+I14</f>
        <v>0</v>
      </c>
      <c r="J15" s="1">
        <f>+J12+J14</f>
        <v>0</v>
      </c>
      <c r="K15" s="1">
        <f>SUM(B15:J15)</f>
        <v>60070368.620000005</v>
      </c>
    </row>
    <row r="17" spans="1:11" x14ac:dyDescent="0.2">
      <c r="A17" t="s">
        <v>6</v>
      </c>
      <c r="B17" s="1">
        <f>B$9/($K$9-$J$9-$I$9-$H$9)*-$H$17</f>
        <v>7008277.7125161765</v>
      </c>
      <c r="C17" s="1">
        <f>C$9/($K$9-$J$9-$I$9-$H$9)*-$H$17</f>
        <v>0</v>
      </c>
      <c r="D17" s="1">
        <f>D$9/($K$9-$J$9-$I$9-$H$9)*-$H$17</f>
        <v>337522.1492905409</v>
      </c>
      <c r="E17" s="1">
        <f>E$9/($K$9-$J$9-$I$9-$H$9)*-$H$17</f>
        <v>0</v>
      </c>
      <c r="G17" s="1">
        <f>G$9/($K$9-$J$9-$I$9-$H$9)*-$H$17</f>
        <v>1634264.7353167732</v>
      </c>
      <c r="H17" s="1">
        <f>-H15</f>
        <v>-8980064.5971234906</v>
      </c>
      <c r="K17" s="1">
        <v>0</v>
      </c>
    </row>
    <row r="18" spans="1:11" x14ac:dyDescent="0.2">
      <c r="A18" t="s">
        <v>4</v>
      </c>
      <c r="B18" s="1">
        <f>+B15+B17</f>
        <v>46880489.670088708</v>
      </c>
      <c r="C18" s="1">
        <f>+C15+C17</f>
        <v>0</v>
      </c>
      <c r="D18" s="1">
        <f>+D15+D17</f>
        <v>2257787.75932102</v>
      </c>
      <c r="E18" s="1">
        <f>+E15+E17</f>
        <v>0</v>
      </c>
      <c r="G18" s="1">
        <f>+G15+G17</f>
        <v>10932091.190590274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60070368.620000005</v>
      </c>
    </row>
    <row r="20" spans="1:11" x14ac:dyDescent="0.2">
      <c r="A20" t="s">
        <v>7</v>
      </c>
      <c r="B20" s="1">
        <f>B$9/($K$9-$J$9-$I$9-$H$9-$G$9)*-$G$20</f>
        <v>10429787.427310137</v>
      </c>
      <c r="C20" s="1">
        <f>C$9/($K$9-$J$9-$I$9-$H$9-$G$9)*-$G$20</f>
        <v>0</v>
      </c>
      <c r="D20" s="1">
        <f>D$9/($K$9-$J$9-$I$9-$H$9-$G$9)*-$G$20</f>
        <v>502303.7632801361</v>
      </c>
      <c r="E20" s="1">
        <f>E$9/($K$9-$J$9-$I$9-$H$9-$G$9)*-$G$20</f>
        <v>0</v>
      </c>
      <c r="G20" s="1">
        <f>-G18</f>
        <v>-10932091.190590274</v>
      </c>
      <c r="K20" s="1">
        <f>SUM(B20:J20)</f>
        <v>0</v>
      </c>
    </row>
    <row r="22" spans="1:11" x14ac:dyDescent="0.2">
      <c r="A22" t="s">
        <v>8</v>
      </c>
      <c r="B22" s="1">
        <f>+B20+B18</f>
        <v>57310277.097398847</v>
      </c>
      <c r="C22" s="1">
        <f t="shared" ref="C22:K22" si="3">+C20+C18</f>
        <v>0</v>
      </c>
      <c r="D22" s="1">
        <f t="shared" si="3"/>
        <v>2760091.522601156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60070368.620000005</v>
      </c>
    </row>
    <row r="27" spans="1:11" x14ac:dyDescent="0.2">
      <c r="A27" t="s">
        <v>9</v>
      </c>
      <c r="B27" s="1">
        <f>+B9</f>
        <v>29223303.32</v>
      </c>
    </row>
    <row r="28" spans="1:11" x14ac:dyDescent="0.2">
      <c r="A28" t="s">
        <v>10</v>
      </c>
      <c r="B28" s="1">
        <f>+B22-B27</f>
        <v>28086973.777398847</v>
      </c>
    </row>
    <row r="29" spans="1:11" x14ac:dyDescent="0.2">
      <c r="A29" s="29" t="s">
        <v>170</v>
      </c>
      <c r="B29" s="1">
        <v>5910</v>
      </c>
    </row>
    <row r="30" spans="1:11" x14ac:dyDescent="0.2">
      <c r="A30" t="s">
        <v>11</v>
      </c>
      <c r="B30" s="1">
        <f>+B28/B29</f>
        <v>4752.449031708773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25046241.390000001</v>
      </c>
      <c r="C9" s="1">
        <f>'Master Expend Table'!C15</f>
        <v>0</v>
      </c>
      <c r="D9" s="1">
        <f>'Master Expend Table'!D15</f>
        <v>2079466.6</v>
      </c>
      <c r="E9" s="1">
        <f>'Master Expend Table'!E15</f>
        <v>529810.43000000005</v>
      </c>
      <c r="G9" s="1">
        <f>'Master Expend Table'!G15</f>
        <v>6743962.1799999997</v>
      </c>
      <c r="H9" s="1">
        <f>'Master Expend Table'!H15</f>
        <v>6516570.4800000004</v>
      </c>
      <c r="I9" s="1">
        <f>'Master Expend Table'!I15</f>
        <v>8202908.6699999999</v>
      </c>
      <c r="J9" s="1">
        <f>'Master Expend Table'!J15</f>
        <v>6312834.5399999991</v>
      </c>
      <c r="K9" s="1">
        <f>SUM(B9:J9)</f>
        <v>55431794.289999999</v>
      </c>
    </row>
    <row r="11" spans="1:11" x14ac:dyDescent="0.2">
      <c r="A11" t="s">
        <v>3</v>
      </c>
      <c r="B11" s="1">
        <f>(B9/($K9-$J9))*-$J$11</f>
        <v>3218976.5123022501</v>
      </c>
      <c r="C11" s="1">
        <f t="shared" ref="C11:I11" si="0">(C9/($K9-$J9))*-$J$11</f>
        <v>0</v>
      </c>
      <c r="D11" s="1">
        <f t="shared" si="0"/>
        <v>267255.83448978403</v>
      </c>
      <c r="E11" s="1">
        <f t="shared" si="0"/>
        <v>68091.946555449031</v>
      </c>
      <c r="G11" s="1">
        <f t="shared" si="0"/>
        <v>866743.0581397377</v>
      </c>
      <c r="H11" s="1">
        <f t="shared" si="0"/>
        <v>837518.3720882521</v>
      </c>
      <c r="I11" s="1">
        <f t="shared" si="0"/>
        <v>1054248.8164245265</v>
      </c>
      <c r="J11" s="1">
        <f>-J9</f>
        <v>-6312834.5399999991</v>
      </c>
      <c r="K11" s="1">
        <v>0</v>
      </c>
    </row>
    <row r="12" spans="1:11" x14ac:dyDescent="0.2">
      <c r="A12" t="s">
        <v>4</v>
      </c>
      <c r="B12" s="1">
        <f>+B9+B11</f>
        <v>28265217.90230225</v>
      </c>
      <c r="C12" s="1">
        <f>+C9+C11</f>
        <v>0</v>
      </c>
      <c r="D12" s="1">
        <f>+D9+D11</f>
        <v>2346722.4344897843</v>
      </c>
      <c r="E12" s="1">
        <f>+E9+E11</f>
        <v>597902.3765554491</v>
      </c>
      <c r="G12" s="1">
        <f>+G9+G11</f>
        <v>7610705.2381397374</v>
      </c>
      <c r="H12" s="1">
        <f>+H9+H11</f>
        <v>7354088.8520882521</v>
      </c>
      <c r="I12" s="1">
        <f>+I9+I11</f>
        <v>9257157.4864245262</v>
      </c>
      <c r="J12" s="1">
        <f>+J9+J11</f>
        <v>0</v>
      </c>
      <c r="K12" s="1">
        <f>SUM(B12:J12)</f>
        <v>55431794.289999999</v>
      </c>
    </row>
    <row r="14" spans="1:11" x14ac:dyDescent="0.2">
      <c r="A14" t="s">
        <v>5</v>
      </c>
      <c r="B14" s="1">
        <f>B$9/($K$9-$J$9-$I$9)*-I14</f>
        <v>5666651.4697838807</v>
      </c>
      <c r="C14" s="1">
        <f t="shared" ref="C14:H14" si="1">C$9/($K$9-$J$9-$I$9)*-$I$14</f>
        <v>0</v>
      </c>
      <c r="D14" s="1">
        <f t="shared" si="1"/>
        <v>470474.28321765008</v>
      </c>
      <c r="E14" s="1">
        <f t="shared" si="1"/>
        <v>119868.32695244299</v>
      </c>
      <c r="G14" s="1">
        <f t="shared" si="1"/>
        <v>1525805.1140049282</v>
      </c>
      <c r="H14" s="1">
        <f t="shared" si="1"/>
        <v>1474358.2924656246</v>
      </c>
      <c r="I14" s="1">
        <f>-I12</f>
        <v>-9257157.4864245262</v>
      </c>
      <c r="K14" s="1">
        <v>0</v>
      </c>
    </row>
    <row r="15" spans="1:11" x14ac:dyDescent="0.2">
      <c r="A15" t="s">
        <v>4</v>
      </c>
      <c r="B15" s="1">
        <f>+B12+B14</f>
        <v>33931869.37208613</v>
      </c>
      <c r="C15" s="1">
        <f>+C12+C14</f>
        <v>0</v>
      </c>
      <c r="D15" s="1">
        <f>+D12+D14</f>
        <v>2817196.7177074342</v>
      </c>
      <c r="E15" s="1">
        <f>+E12+E14</f>
        <v>717770.70350789209</v>
      </c>
      <c r="G15" s="1">
        <f>+G12+G14</f>
        <v>9136510.352144666</v>
      </c>
      <c r="H15" s="1">
        <f>+H12+H14</f>
        <v>8828447.1445538774</v>
      </c>
      <c r="I15" s="1">
        <f>+I12+I14</f>
        <v>0</v>
      </c>
      <c r="J15" s="1">
        <f>+J12+J14</f>
        <v>0</v>
      </c>
      <c r="K15" s="1">
        <f>SUM(B15:J15)</f>
        <v>55431794.289999999</v>
      </c>
    </row>
    <row r="17" spans="1:11" x14ac:dyDescent="0.2">
      <c r="A17" t="s">
        <v>6</v>
      </c>
      <c r="B17" s="1">
        <f>B$9/($K$9-$J$9-$I$9-$H$9)*-$H$17</f>
        <v>6427987.1214495217</v>
      </c>
      <c r="C17" s="1">
        <f>C$9/($K$9-$J$9-$I$9-$H$9)*-$H$17</f>
        <v>0</v>
      </c>
      <c r="D17" s="1">
        <f>D$9/($K$9-$J$9-$I$9-$H$9)*-$H$17</f>
        <v>533684.24891174561</v>
      </c>
      <c r="E17" s="1">
        <f>E$9/($K$9-$J$9-$I$9-$H$9)*-$H$17</f>
        <v>135973.08146240914</v>
      </c>
      <c r="G17" s="1">
        <f>G$9/($K$9-$J$9-$I$9-$H$9)*-$H$17</f>
        <v>1730802.6927302021</v>
      </c>
      <c r="H17" s="1">
        <f>-H15</f>
        <v>-8828447.1445538774</v>
      </c>
      <c r="K17" s="1">
        <v>0</v>
      </c>
    </row>
    <row r="18" spans="1:11" x14ac:dyDescent="0.2">
      <c r="A18" t="s">
        <v>4</v>
      </c>
      <c r="B18" s="1">
        <f>+B15+B17</f>
        <v>40359856.493535653</v>
      </c>
      <c r="C18" s="1">
        <f>+C15+C17</f>
        <v>0</v>
      </c>
      <c r="D18" s="1">
        <f>+D15+D17</f>
        <v>3350880.9666191796</v>
      </c>
      <c r="E18" s="1">
        <f>+E15+E17</f>
        <v>853743.7849703012</v>
      </c>
      <c r="G18" s="1">
        <f>+G15+G17</f>
        <v>10867313.044874867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55431794.289999999</v>
      </c>
    </row>
    <row r="20" spans="1:11" x14ac:dyDescent="0.2">
      <c r="A20" t="s">
        <v>7</v>
      </c>
      <c r="B20" s="1">
        <f>B$9/($K$9-$J$9-$I$9-$H$9-$G$9)*-$G$20</f>
        <v>9841990.3633334935</v>
      </c>
      <c r="C20" s="1">
        <f>C$9/($K$9-$J$9-$I$9-$H$9-$G$9)*-$G$20</f>
        <v>0</v>
      </c>
      <c r="D20" s="1">
        <f>D$9/($K$9-$J$9-$I$9-$H$9-$G$9)*-$G$20</f>
        <v>817132.19637997996</v>
      </c>
      <c r="E20" s="1">
        <f>E$9/($K$9-$J$9-$I$9-$H$9-$G$9)*-$G$20</f>
        <v>208190.48516139746</v>
      </c>
      <c r="G20" s="1">
        <f>-G18</f>
        <v>-10867313.044874867</v>
      </c>
      <c r="K20" s="1">
        <f>SUM(B20:J20)</f>
        <v>0</v>
      </c>
    </row>
    <row r="22" spans="1:11" x14ac:dyDescent="0.2">
      <c r="A22" t="s">
        <v>8</v>
      </c>
      <c r="B22" s="1">
        <f>+B20+B18</f>
        <v>50201846.856869146</v>
      </c>
      <c r="C22" s="1">
        <f t="shared" ref="C22:K22" si="2">+C20+C18</f>
        <v>0</v>
      </c>
      <c r="D22" s="1">
        <f t="shared" si="2"/>
        <v>4168013.1629991597</v>
      </c>
      <c r="E22" s="1">
        <f t="shared" si="2"/>
        <v>1061934.2701316986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55431794.289999999</v>
      </c>
    </row>
    <row r="27" spans="1:11" x14ac:dyDescent="0.2">
      <c r="A27" t="s">
        <v>9</v>
      </c>
      <c r="B27" s="1">
        <f>+B9</f>
        <v>25046241.390000001</v>
      </c>
    </row>
    <row r="28" spans="1:11" x14ac:dyDescent="0.2">
      <c r="A28" t="s">
        <v>10</v>
      </c>
      <c r="B28" s="1">
        <f>+B22-B27</f>
        <v>25155605.466869146</v>
      </c>
    </row>
    <row r="29" spans="1:11" x14ac:dyDescent="0.2">
      <c r="A29" s="29" t="s">
        <v>170</v>
      </c>
      <c r="B29" s="1">
        <f>'DAKCTY TC'!B29+'INVER HILLS'!B29</f>
        <v>4572</v>
      </c>
    </row>
    <row r="30" spans="1:11" x14ac:dyDescent="0.2">
      <c r="A30" t="s">
        <v>11</v>
      </c>
      <c r="B30" s="1">
        <f>+B28/B29</f>
        <v>5502.1009332609683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11195077.65</v>
      </c>
      <c r="C9" s="1">
        <f>'Master Expend Table'!C16</f>
        <v>0</v>
      </c>
      <c r="D9" s="1">
        <f>'Master Expend Table'!D16</f>
        <v>1379001.77</v>
      </c>
      <c r="E9" s="1">
        <f>'Master Expend Table'!E16</f>
        <v>529810.43000000005</v>
      </c>
      <c r="G9" s="1">
        <f>'Master Expend Table'!G16</f>
        <v>2627257.75</v>
      </c>
      <c r="H9" s="1">
        <f>'Master Expend Table'!H16</f>
        <v>2479528.98</v>
      </c>
      <c r="I9" s="1">
        <f>'Master Expend Table'!I16</f>
        <v>3536954.18</v>
      </c>
      <c r="J9" s="1">
        <f>'Master Expend Table'!J16</f>
        <v>3426087.53</v>
      </c>
      <c r="K9" s="1">
        <f>SUM(B9:J9)</f>
        <v>25173718.289999999</v>
      </c>
    </row>
    <row r="11" spans="1:11" x14ac:dyDescent="0.2">
      <c r="A11" t="s">
        <v>3</v>
      </c>
      <c r="B11" s="1">
        <f>(B9/($K9-$J9))*-$J$11</f>
        <v>1763654.9175091248</v>
      </c>
      <c r="C11" s="1">
        <f t="shared" ref="C11:I11" si="0">(C9/($K9-$J9))*-$J$11</f>
        <v>0</v>
      </c>
      <c r="D11" s="1">
        <f t="shared" si="0"/>
        <v>217245.76898439712</v>
      </c>
      <c r="E11" s="1">
        <f t="shared" si="0"/>
        <v>83465.501484674751</v>
      </c>
      <c r="G11" s="1">
        <f t="shared" si="0"/>
        <v>413894.05194089556</v>
      </c>
      <c r="H11" s="1">
        <f t="shared" si="0"/>
        <v>390621.09396654204</v>
      </c>
      <c r="I11" s="1">
        <f t="shared" si="0"/>
        <v>557206.19611436594</v>
      </c>
      <c r="J11" s="1">
        <f>-J9</f>
        <v>-3426087.53</v>
      </c>
      <c r="K11" s="1">
        <v>0</v>
      </c>
    </row>
    <row r="12" spans="1:11" x14ac:dyDescent="0.2">
      <c r="A12" t="s">
        <v>4</v>
      </c>
      <c r="B12" s="1">
        <f>+B9+B11</f>
        <v>12958732.567509126</v>
      </c>
      <c r="C12" s="1">
        <f>+C9+C11</f>
        <v>0</v>
      </c>
      <c r="D12" s="1">
        <f>+D9+D11</f>
        <v>1596247.5389843972</v>
      </c>
      <c r="E12" s="1">
        <f>+E9+E11</f>
        <v>613275.9314846748</v>
      </c>
      <c r="G12" s="1">
        <f>+G9+G11</f>
        <v>3041151.8019408956</v>
      </c>
      <c r="H12" s="1">
        <f>+H9+H11</f>
        <v>2870150.0739665423</v>
      </c>
      <c r="I12" s="1">
        <f>+I9+I11</f>
        <v>4094160.3761143661</v>
      </c>
      <c r="J12" s="1">
        <f>+J9+J11</f>
        <v>0</v>
      </c>
      <c r="K12" s="1">
        <f>SUM(B12:J12)</f>
        <v>25173718.290000003</v>
      </c>
    </row>
    <row r="14" spans="1:11" x14ac:dyDescent="0.2">
      <c r="A14" t="s">
        <v>5</v>
      </c>
      <c r="B14" s="1">
        <f>B$9/($K$9-$J$9-$I$9)*-I14</f>
        <v>2516899.5298335883</v>
      </c>
      <c r="C14" s="1">
        <f t="shared" ref="C14:H14" si="1">C$9/($K$9-$J$9-$I$9)*-$I$14</f>
        <v>0</v>
      </c>
      <c r="D14" s="1">
        <f t="shared" si="1"/>
        <v>310029.90913177689</v>
      </c>
      <c r="E14" s="1">
        <f t="shared" si="1"/>
        <v>119113.03019572458</v>
      </c>
      <c r="G14" s="1">
        <f t="shared" si="1"/>
        <v>590665.29080543271</v>
      </c>
      <c r="H14" s="1">
        <f t="shared" si="1"/>
        <v>557452.61614784389</v>
      </c>
      <c r="I14" s="1">
        <f>-I12</f>
        <v>-4094160.3761143661</v>
      </c>
      <c r="K14" s="1">
        <v>0</v>
      </c>
    </row>
    <row r="15" spans="1:11" x14ac:dyDescent="0.2">
      <c r="A15" t="s">
        <v>4</v>
      </c>
      <c r="B15" s="1">
        <f>+B12+B14</f>
        <v>15475632.097342715</v>
      </c>
      <c r="C15" s="1">
        <f>+C12+C14</f>
        <v>0</v>
      </c>
      <c r="D15" s="1">
        <f>+D12+D14</f>
        <v>1906277.448116174</v>
      </c>
      <c r="E15" s="1">
        <f>+E12+E14</f>
        <v>732388.96168039937</v>
      </c>
      <c r="G15" s="1">
        <f>+G12+G14</f>
        <v>3631817.0927463286</v>
      </c>
      <c r="H15" s="1">
        <f>+H12+H14</f>
        <v>3427602.6901143864</v>
      </c>
      <c r="I15" s="1">
        <f>+I12+I14</f>
        <v>0</v>
      </c>
      <c r="J15" s="1">
        <f>+J12+J14</f>
        <v>0</v>
      </c>
      <c r="K15" s="1">
        <f>SUM(B15:J15)</f>
        <v>25173718.290000007</v>
      </c>
    </row>
    <row r="17" spans="1:11" x14ac:dyDescent="0.2">
      <c r="A17" t="s">
        <v>6</v>
      </c>
      <c r="B17" s="1">
        <f>B$9/($K$9-$J$9-$I$9-$H$9)*-$H$17</f>
        <v>2439254.8620660994</v>
      </c>
      <c r="C17" s="1">
        <f>C$9/($K$9-$J$9-$I$9-$H$9)*-$H$17</f>
        <v>0</v>
      </c>
      <c r="D17" s="1">
        <f>D$9/($K$9-$J$9-$I$9-$H$9)*-$H$17</f>
        <v>300465.69371229474</v>
      </c>
      <c r="E17" s="1">
        <f>E$9/($K$9-$J$9-$I$9-$H$9)*-$H$17</f>
        <v>115438.47284979133</v>
      </c>
      <c r="G17" s="1">
        <f>G$9/($K$9-$J$9-$I$9-$H$9)*-$H$17</f>
        <v>572443.66148620157</v>
      </c>
      <c r="H17" s="1">
        <f>-H15</f>
        <v>-3427602.6901143864</v>
      </c>
      <c r="K17" s="1">
        <v>0</v>
      </c>
    </row>
    <row r="18" spans="1:11" x14ac:dyDescent="0.2">
      <c r="A18" t="s">
        <v>4</v>
      </c>
      <c r="B18" s="1">
        <f>+B15+B17</f>
        <v>17914886.959408812</v>
      </c>
      <c r="C18" s="1">
        <f>+C15+C17</f>
        <v>0</v>
      </c>
      <c r="D18" s="1">
        <f>+D15+D17</f>
        <v>2206743.1418284685</v>
      </c>
      <c r="E18" s="1">
        <f>+E15+E17</f>
        <v>847827.43453019066</v>
      </c>
      <c r="G18" s="1">
        <f>+G15+G17</f>
        <v>4204260.7542325305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25173718.290000003</v>
      </c>
    </row>
    <row r="20" spans="1:11" x14ac:dyDescent="0.2">
      <c r="A20" t="s">
        <v>7</v>
      </c>
      <c r="B20" s="1">
        <f>B$9/($K$9-$J$9-$I$9-$H$9-$G$9)*-$G$20</f>
        <v>3591836.1756132096</v>
      </c>
      <c r="C20" s="1">
        <f>C$9/($K$9-$J$9-$I$9-$H$9-$G$9)*-$G$20</f>
        <v>0</v>
      </c>
      <c r="D20" s="1">
        <f>D$9/($K$9-$J$9-$I$9-$H$9-$G$9)*-$G$20</f>
        <v>442439.84709839389</v>
      </c>
      <c r="E20" s="1">
        <f>E$9/($K$9-$J$9-$I$9-$H$9-$G$9)*-$G$20</f>
        <v>169984.73152092789</v>
      </c>
      <c r="G20" s="1">
        <f>-G18</f>
        <v>-4204260.7542325305</v>
      </c>
      <c r="K20" s="1">
        <f>SUM(B20:J20)</f>
        <v>0</v>
      </c>
    </row>
    <row r="22" spans="1:11" x14ac:dyDescent="0.2">
      <c r="A22" t="s">
        <v>8</v>
      </c>
      <c r="B22" s="1">
        <f>+B20+B18</f>
        <v>21506723.135022022</v>
      </c>
      <c r="C22" s="1">
        <f t="shared" ref="C22:K22" si="2">+C20+C18</f>
        <v>0</v>
      </c>
      <c r="D22" s="1">
        <f t="shared" si="2"/>
        <v>2649182.9889268624</v>
      </c>
      <c r="E22" s="1">
        <f t="shared" si="2"/>
        <v>1017812.1660511185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25173718.290000003</v>
      </c>
    </row>
    <row r="27" spans="1:11" x14ac:dyDescent="0.2">
      <c r="A27" t="s">
        <v>9</v>
      </c>
      <c r="B27" s="1">
        <f>+B9</f>
        <v>11195077.65</v>
      </c>
    </row>
    <row r="28" spans="1:11" x14ac:dyDescent="0.2">
      <c r="A28" t="s">
        <v>10</v>
      </c>
      <c r="B28" s="1">
        <f>+B22-B27</f>
        <v>10311645.485022021</v>
      </c>
    </row>
    <row r="29" spans="1:11" x14ac:dyDescent="0.2">
      <c r="A29" s="29" t="s">
        <v>170</v>
      </c>
      <c r="B29" s="1">
        <v>1903</v>
      </c>
    </row>
    <row r="30" spans="1:11" x14ac:dyDescent="0.2">
      <c r="A30" t="s">
        <v>11</v>
      </c>
      <c r="B30" s="1">
        <f>+B28/B29</f>
        <v>5418.626108787189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13851163.74</v>
      </c>
      <c r="C9" s="1">
        <f>'Master Expend Table'!C17</f>
        <v>0</v>
      </c>
      <c r="D9" s="1">
        <f>'Master Expend Table'!D17</f>
        <v>700464.83</v>
      </c>
      <c r="E9" s="1">
        <f>'Master Expend Table'!E17</f>
        <v>0</v>
      </c>
      <c r="G9" s="1">
        <f>'Master Expend Table'!G17</f>
        <v>4116704.43</v>
      </c>
      <c r="H9" s="1">
        <f>'Master Expend Table'!H17</f>
        <v>4037041.5</v>
      </c>
      <c r="I9" s="1">
        <f>'Master Expend Table'!I17</f>
        <v>4665954.49</v>
      </c>
      <c r="J9" s="1">
        <f>'Master Expend Table'!J17</f>
        <v>2886747.01</v>
      </c>
      <c r="K9" s="1">
        <f>SUM(B9:J9)</f>
        <v>30258076</v>
      </c>
    </row>
    <row r="11" spans="1:11" x14ac:dyDescent="0.2">
      <c r="A11" t="s">
        <v>3</v>
      </c>
      <c r="B11" s="1">
        <f>(B9/($K9-$J9))*-$J$11</f>
        <v>1460828.0630463248</v>
      </c>
      <c r="C11" s="1">
        <f t="shared" ref="C11:I11" si="0">(C9/($K9-$J9))*-$J$11</f>
        <v>0</v>
      </c>
      <c r="D11" s="1">
        <f t="shared" si="0"/>
        <v>73875.2858639568</v>
      </c>
      <c r="E11" s="1">
        <f t="shared" si="0"/>
        <v>0</v>
      </c>
      <c r="G11" s="1">
        <f t="shared" si="0"/>
        <v>434172.71440118895</v>
      </c>
      <c r="H11" s="1">
        <f t="shared" si="0"/>
        <v>425770.97676289751</v>
      </c>
      <c r="I11" s="1">
        <f t="shared" si="0"/>
        <v>492099.96992563177</v>
      </c>
      <c r="J11" s="1">
        <f>-J9</f>
        <v>-2886747.01</v>
      </c>
      <c r="K11" s="1">
        <v>0</v>
      </c>
    </row>
    <row r="12" spans="1:11" x14ac:dyDescent="0.2">
      <c r="A12" t="s">
        <v>4</v>
      </c>
      <c r="B12" s="1">
        <f>+B9+B11</f>
        <v>15311991.803046325</v>
      </c>
      <c r="C12" s="1">
        <f t="shared" ref="C12:J12" si="1">+C9+C11</f>
        <v>0</v>
      </c>
      <c r="D12" s="1">
        <f t="shared" si="1"/>
        <v>774340.11586395674</v>
      </c>
      <c r="E12" s="1">
        <f t="shared" si="1"/>
        <v>0</v>
      </c>
      <c r="G12" s="1">
        <f t="shared" si="1"/>
        <v>4550877.1444011889</v>
      </c>
      <c r="H12" s="1">
        <f t="shared" si="1"/>
        <v>4462812.4767628973</v>
      </c>
      <c r="I12" s="1">
        <f t="shared" si="1"/>
        <v>5158054.459925632</v>
      </c>
      <c r="J12" s="1">
        <f t="shared" si="1"/>
        <v>0</v>
      </c>
      <c r="K12" s="1">
        <f>SUM(B12:J12)</f>
        <v>30258076.000000004</v>
      </c>
    </row>
    <row r="14" spans="1:11" x14ac:dyDescent="0.2">
      <c r="A14" t="s">
        <v>5</v>
      </c>
      <c r="B14" s="1">
        <f>B$9/($K$9-$J$9-$I$9)*-I14</f>
        <v>3146614.3359259367</v>
      </c>
      <c r="C14" s="1">
        <f t="shared" ref="C14:H14" si="2">C$9/($K$9-$J$9-$I$9)*-$I$14</f>
        <v>0</v>
      </c>
      <c r="D14" s="1">
        <f t="shared" si="2"/>
        <v>159126.89484168382</v>
      </c>
      <c r="E14" s="1">
        <f t="shared" si="2"/>
        <v>0</v>
      </c>
      <c r="G14" s="1">
        <f t="shared" si="2"/>
        <v>935205.25923750375</v>
      </c>
      <c r="H14" s="1">
        <f t="shared" si="2"/>
        <v>917107.96992050775</v>
      </c>
      <c r="I14" s="1">
        <f>-I12</f>
        <v>-5158054.459925632</v>
      </c>
      <c r="K14" s="1">
        <v>0</v>
      </c>
    </row>
    <row r="15" spans="1:11" x14ac:dyDescent="0.2">
      <c r="A15" t="s">
        <v>4</v>
      </c>
      <c r="B15" s="1">
        <f>+B12+B14</f>
        <v>18458606.13897226</v>
      </c>
      <c r="C15" s="1">
        <f>+C12+C14</f>
        <v>0</v>
      </c>
      <c r="D15" s="1">
        <f>+D12+D14</f>
        <v>933467.01070564054</v>
      </c>
      <c r="E15" s="1">
        <f>+E12+E14</f>
        <v>0</v>
      </c>
      <c r="G15" s="1">
        <f>+G12+G14</f>
        <v>5486082.4036386926</v>
      </c>
      <c r="H15" s="1">
        <f>+H12+H14</f>
        <v>5379920.446683405</v>
      </c>
      <c r="I15" s="1">
        <f>+I12+I14</f>
        <v>0</v>
      </c>
      <c r="J15" s="1">
        <f>+J12+J14</f>
        <v>0</v>
      </c>
      <c r="K15" s="1">
        <f>SUM(B15:J15)</f>
        <v>30258076</v>
      </c>
    </row>
    <row r="17" spans="1:11" x14ac:dyDescent="0.2">
      <c r="A17" t="s">
        <v>6</v>
      </c>
      <c r="B17" s="1">
        <f>B$9/($K$9-$J$9-$I$9-$H$9)*-$H$17</f>
        <v>3991687.9035308501</v>
      </c>
      <c r="C17" s="1">
        <f>C$9/($K$9-$J$9-$I$9-$H$9)*-$H$17</f>
        <v>0</v>
      </c>
      <c r="D17" s="1">
        <f>D$9/($K$9-$J$9-$I$9-$H$9)*-$H$17</f>
        <v>201862.96554168037</v>
      </c>
      <c r="E17" s="1">
        <f>E$9/($K$9-$J$9-$I$9-$H$9)*-$H$17</f>
        <v>0</v>
      </c>
      <c r="G17" s="1">
        <f>G$9/($K$9-$J$9-$I$9-$H$9)*-$H$17</f>
        <v>1186369.5776108748</v>
      </c>
      <c r="H17" s="1">
        <f>-H15</f>
        <v>-5379920.446683405</v>
      </c>
      <c r="K17" s="1">
        <v>0</v>
      </c>
    </row>
    <row r="18" spans="1:11" x14ac:dyDescent="0.2">
      <c r="A18" t="s">
        <v>4</v>
      </c>
      <c r="B18" s="1">
        <f>+B15+B17</f>
        <v>22450294.042503111</v>
      </c>
      <c r="C18" s="1">
        <f>+C15+C17</f>
        <v>0</v>
      </c>
      <c r="D18" s="1">
        <f>+D15+D17</f>
        <v>1135329.9762473209</v>
      </c>
      <c r="E18" s="1">
        <f>+E15+E17</f>
        <v>0</v>
      </c>
      <c r="G18" s="1">
        <f>+G15+G17</f>
        <v>6672451.9812495671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30258076</v>
      </c>
    </row>
    <row r="20" spans="1:11" x14ac:dyDescent="0.2">
      <c r="A20" t="s">
        <v>7</v>
      </c>
      <c r="B20" s="1">
        <f>B$9/($K$9-$J$9-$I$9-$H$9-$G$9)*-$G$20</f>
        <v>6351263.3307665</v>
      </c>
      <c r="C20" s="1">
        <f>C$9/($K$9-$J$9-$I$9-$H$9-$G$9)*-$G$20</f>
        <v>0</v>
      </c>
      <c r="D20" s="1">
        <f>D$9/($K$9-$J$9-$I$9-$H$9-$G$9)*-$G$20</f>
        <v>321188.65048306691</v>
      </c>
      <c r="E20" s="1">
        <f>E$9/($K$9-$J$9-$I$9-$H$9-$G$9)*-$G$20</f>
        <v>0</v>
      </c>
      <c r="G20" s="1">
        <f>-G18</f>
        <v>-6672451.9812495671</v>
      </c>
      <c r="K20" s="1">
        <f>SUM(B20:J20)</f>
        <v>0</v>
      </c>
    </row>
    <row r="22" spans="1:11" x14ac:dyDescent="0.2">
      <c r="A22" t="s">
        <v>8</v>
      </c>
      <c r="B22" s="1">
        <f>+B20+B18</f>
        <v>28801557.37326961</v>
      </c>
      <c r="C22" s="1">
        <f t="shared" ref="C22:K22" si="3">+C20+C18</f>
        <v>0</v>
      </c>
      <c r="D22" s="1">
        <f t="shared" si="3"/>
        <v>1456518.6267303878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30258076</v>
      </c>
    </row>
    <row r="27" spans="1:11" x14ac:dyDescent="0.2">
      <c r="A27" t="s">
        <v>9</v>
      </c>
      <c r="B27" s="1">
        <f>+B9</f>
        <v>13851163.74</v>
      </c>
    </row>
    <row r="28" spans="1:11" x14ac:dyDescent="0.2">
      <c r="A28" t="s">
        <v>10</v>
      </c>
      <c r="B28" s="1">
        <f>+B22-B27</f>
        <v>14950393.63326961</v>
      </c>
    </row>
    <row r="29" spans="1:11" x14ac:dyDescent="0.2">
      <c r="A29" s="29" t="s">
        <v>170</v>
      </c>
      <c r="B29" s="1">
        <v>2669</v>
      </c>
    </row>
    <row r="30" spans="1:11" x14ac:dyDescent="0.2">
      <c r="A30" t="s">
        <v>11</v>
      </c>
      <c r="B30" s="1">
        <f>+B28/B29</f>
        <v>5601.4963032107944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4947233.51</v>
      </c>
      <c r="C9" s="1">
        <f>'Master Expend Table'!C18</f>
        <v>0</v>
      </c>
      <c r="D9" s="1">
        <f>'Master Expend Table'!D18</f>
        <v>225.59</v>
      </c>
      <c r="E9" s="1">
        <f>'Master Expend Table'!E18</f>
        <v>0</v>
      </c>
      <c r="G9" s="1">
        <f>'Master Expend Table'!G18</f>
        <v>1165523.3899999999</v>
      </c>
      <c r="H9" s="1">
        <f>'Master Expend Table'!H18</f>
        <v>1097052.3799999999</v>
      </c>
      <c r="I9" s="1">
        <f>'Master Expend Table'!I18</f>
        <v>1587409.4</v>
      </c>
      <c r="J9" s="1">
        <f>'Master Expend Table'!J18</f>
        <v>918154.74</v>
      </c>
      <c r="K9" s="1">
        <f>SUM(B9:J9)</f>
        <v>9715599.0099999998</v>
      </c>
    </row>
    <row r="11" spans="1:11" x14ac:dyDescent="0.2">
      <c r="A11" t="s">
        <v>3</v>
      </c>
      <c r="B11" s="1">
        <f>(B9/($K9-$J9))*-$J$11</f>
        <v>516323.35001916834</v>
      </c>
      <c r="C11" s="1">
        <f t="shared" ref="C11:I11" si="0">(C9/($K9-$J9))*-$J$11</f>
        <v>0</v>
      </c>
      <c r="D11" s="1">
        <f t="shared" si="0"/>
        <v>23.543943154367945</v>
      </c>
      <c r="E11" s="1">
        <f t="shared" si="0"/>
        <v>0</v>
      </c>
      <c r="G11" s="1">
        <f t="shared" si="0"/>
        <v>121641.10305973765</v>
      </c>
      <c r="H11" s="1">
        <f t="shared" si="0"/>
        <v>114495.0524051778</v>
      </c>
      <c r="I11" s="1">
        <f t="shared" si="0"/>
        <v>165671.69057276176</v>
      </c>
      <c r="J11" s="1">
        <f>-J9</f>
        <v>-918154.74</v>
      </c>
      <c r="K11" s="1">
        <v>0</v>
      </c>
    </row>
    <row r="12" spans="1:11" x14ac:dyDescent="0.2">
      <c r="A12" t="s">
        <v>4</v>
      </c>
      <c r="B12" s="1">
        <f>+B9+B11</f>
        <v>5463556.8600191679</v>
      </c>
      <c r="C12" s="1">
        <f t="shared" ref="C12:J12" si="1">+C9+C11</f>
        <v>0</v>
      </c>
      <c r="D12" s="1">
        <f t="shared" si="1"/>
        <v>249.13394315436796</v>
      </c>
      <c r="E12" s="1">
        <f t="shared" si="1"/>
        <v>0</v>
      </c>
      <c r="G12" s="1">
        <f t="shared" si="1"/>
        <v>1287164.4930597376</v>
      </c>
      <c r="H12" s="1">
        <f t="shared" si="1"/>
        <v>1211547.4324051777</v>
      </c>
      <c r="I12" s="1">
        <f t="shared" si="1"/>
        <v>1753081.0905727616</v>
      </c>
      <c r="J12" s="1">
        <f t="shared" si="1"/>
        <v>0</v>
      </c>
      <c r="K12" s="1">
        <f>SUM(B12:J12)</f>
        <v>9715599.0099999998</v>
      </c>
    </row>
    <row r="14" spans="1:11" x14ac:dyDescent="0.2">
      <c r="A14" t="s">
        <v>5</v>
      </c>
      <c r="B14" s="1">
        <f>B$9/($K$9-$J$9-$I$9)*-I14</f>
        <v>1202893.1445416037</v>
      </c>
      <c r="C14" s="1">
        <f t="shared" ref="C14:H14" si="2">C$9/($K$9-$J$9-$I$9)*-$I$14</f>
        <v>0</v>
      </c>
      <c r="D14" s="1">
        <f t="shared" si="2"/>
        <v>54.850991757035608</v>
      </c>
      <c r="E14" s="1">
        <f t="shared" si="2"/>
        <v>0</v>
      </c>
      <c r="G14" s="1">
        <f t="shared" si="2"/>
        <v>283390.72590771841</v>
      </c>
      <c r="H14" s="1">
        <f t="shared" si="2"/>
        <v>266742.36913168267</v>
      </c>
      <c r="I14" s="1">
        <f>-I12</f>
        <v>-1753081.0905727616</v>
      </c>
      <c r="K14" s="1">
        <v>0</v>
      </c>
    </row>
    <row r="15" spans="1:11" x14ac:dyDescent="0.2">
      <c r="A15" t="s">
        <v>4</v>
      </c>
      <c r="B15" s="1">
        <f>+B12+B14</f>
        <v>6666450.0045607714</v>
      </c>
      <c r="C15" s="1">
        <f>+C12+C14</f>
        <v>0</v>
      </c>
      <c r="D15" s="1">
        <f>+D12+D14</f>
        <v>303.98493491140357</v>
      </c>
      <c r="E15" s="1">
        <f>+E12+E14</f>
        <v>0</v>
      </c>
      <c r="G15" s="1">
        <f>+G12+G14</f>
        <v>1570555.2189674559</v>
      </c>
      <c r="H15" s="1">
        <f>+H12+H14</f>
        <v>1478289.8015368604</v>
      </c>
      <c r="I15" s="1">
        <f>+I12+I14</f>
        <v>0</v>
      </c>
      <c r="J15" s="1">
        <f>+J12+J14</f>
        <v>0</v>
      </c>
      <c r="K15" s="1">
        <f>SUM(B15:J15)</f>
        <v>9715599.0099999979</v>
      </c>
    </row>
    <row r="17" spans="1:11" x14ac:dyDescent="0.2">
      <c r="A17" t="s">
        <v>6</v>
      </c>
      <c r="B17" s="1">
        <f>B$9/($K$9-$J$9-$I$9-$H$9)*-$H$17</f>
        <v>1196379.1579017604</v>
      </c>
      <c r="C17" s="1">
        <f>C$9/($K$9-$J$9-$I$9-$H$9)*-$H$17</f>
        <v>0</v>
      </c>
      <c r="D17" s="1">
        <f>D$9/($K$9-$J$9-$I$9-$H$9)*-$H$17</f>
        <v>54.553959032966304</v>
      </c>
      <c r="E17" s="1">
        <f>E$9/($K$9-$J$9-$I$9-$H$9)*-$H$17</f>
        <v>0</v>
      </c>
      <c r="G17" s="1">
        <f>G$9/($K$9-$J$9-$I$9-$H$9)*-$H$17</f>
        <v>281856.08967606723</v>
      </c>
      <c r="H17" s="1">
        <f>-H15</f>
        <v>-1478289.8015368604</v>
      </c>
      <c r="K17" s="1">
        <v>0</v>
      </c>
    </row>
    <row r="18" spans="1:11" x14ac:dyDescent="0.2">
      <c r="A18" t="s">
        <v>4</v>
      </c>
      <c r="B18" s="1">
        <f>+B15+B17</f>
        <v>7862829.1624625316</v>
      </c>
      <c r="C18" s="1">
        <f>+C15+C17</f>
        <v>0</v>
      </c>
      <c r="D18" s="1">
        <f>+D15+D17</f>
        <v>358.53889394436987</v>
      </c>
      <c r="E18" s="1">
        <f>+E15+E17</f>
        <v>0</v>
      </c>
      <c r="G18" s="1">
        <f>+G15+G17</f>
        <v>1852411.3086435231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9715599.0099999998</v>
      </c>
    </row>
    <row r="20" spans="1:11" x14ac:dyDescent="0.2">
      <c r="A20" t="s">
        <v>7</v>
      </c>
      <c r="B20" s="1">
        <f>B$9/($K$9-$J$9-$I$9-$H$9-$G$9)*-$G$20</f>
        <v>1852326.8439802141</v>
      </c>
      <c r="C20" s="1">
        <f>C$9/($K$9-$J$9-$I$9-$H$9-$G$9)*-$G$20</f>
        <v>0</v>
      </c>
      <c r="D20" s="1">
        <f>D$9/($K$9-$J$9-$I$9-$H$9-$G$9)*-$G$20</f>
        <v>84.464663309069593</v>
      </c>
      <c r="E20" s="1">
        <f>E$9/($K$9-$J$9-$I$9-$H$9-$G$9)*-$G$20</f>
        <v>0</v>
      </c>
      <c r="G20" s="1">
        <f>-G18</f>
        <v>-1852411.3086435231</v>
      </c>
      <c r="K20" s="1">
        <f>SUM(B20:J20)</f>
        <v>0</v>
      </c>
    </row>
    <row r="22" spans="1:11" x14ac:dyDescent="0.2">
      <c r="A22" t="s">
        <v>8</v>
      </c>
      <c r="B22" s="1">
        <f>+B20+B18</f>
        <v>9715156.0064427461</v>
      </c>
      <c r="C22" s="1">
        <f t="shared" ref="C22:K22" si="3">+C20+C18</f>
        <v>0</v>
      </c>
      <c r="D22" s="1">
        <f t="shared" si="3"/>
        <v>443.00355725343945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9715599.0099999998</v>
      </c>
    </row>
    <row r="27" spans="1:11" x14ac:dyDescent="0.2">
      <c r="A27" t="s">
        <v>9</v>
      </c>
      <c r="B27" s="1">
        <f>+B9</f>
        <v>4947233.51</v>
      </c>
    </row>
    <row r="28" spans="1:11" x14ac:dyDescent="0.2">
      <c r="A28" t="s">
        <v>10</v>
      </c>
      <c r="B28" s="1">
        <f>+B22-B27</f>
        <v>4767922.4964427464</v>
      </c>
    </row>
    <row r="29" spans="1:11" x14ac:dyDescent="0.2">
      <c r="A29" s="29" t="s">
        <v>170</v>
      </c>
      <c r="B29" s="1">
        <v>865</v>
      </c>
    </row>
    <row r="30" spans="1:11" x14ac:dyDescent="0.2">
      <c r="A30" t="s">
        <v>11</v>
      </c>
      <c r="B30" s="1">
        <f>+B28/B29</f>
        <v>5512.0491288355452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19510489.079999998</v>
      </c>
      <c r="C9" s="1">
        <f>'Master Expend Table'!C19</f>
        <v>8372.64</v>
      </c>
      <c r="D9" s="1">
        <f>'Master Expend Table'!D19</f>
        <v>1667971.19</v>
      </c>
      <c r="E9" s="1">
        <f>'Master Expend Table'!E19</f>
        <v>0</v>
      </c>
      <c r="G9" s="1">
        <f>'Master Expend Table'!G19</f>
        <v>5335686.1399999997</v>
      </c>
      <c r="H9" s="1">
        <f>'Master Expend Table'!H19</f>
        <v>5261280.37</v>
      </c>
      <c r="I9" s="1">
        <f>'Master Expend Table'!I19</f>
        <v>5628376.75</v>
      </c>
      <c r="J9" s="1">
        <f>'Master Expend Table'!J19</f>
        <v>4945866.24</v>
      </c>
      <c r="K9" s="1">
        <f>SUM(B9:J9)</f>
        <v>42358042.410000004</v>
      </c>
    </row>
    <row r="11" spans="1:11" x14ac:dyDescent="0.2">
      <c r="A11" t="s">
        <v>3</v>
      </c>
      <c r="B11" s="1">
        <f>(B9/($K9-$J9))*-$J$11</f>
        <v>2579274.427346434</v>
      </c>
      <c r="C11" s="1">
        <f t="shared" ref="C11:I11" si="0">(C9/($K9-$J9))*-$J$11</f>
        <v>1106.857760091468</v>
      </c>
      <c r="D11" s="1">
        <f t="shared" si="0"/>
        <v>220504.74584605338</v>
      </c>
      <c r="E11" s="1">
        <f t="shared" si="0"/>
        <v>0</v>
      </c>
      <c r="G11" s="1">
        <f t="shared" si="0"/>
        <v>705374.36333957885</v>
      </c>
      <c r="H11" s="1">
        <f t="shared" si="0"/>
        <v>695537.96718256257</v>
      </c>
      <c r="I11" s="1">
        <f t="shared" si="0"/>
        <v>744067.87852527958</v>
      </c>
      <c r="J11" s="1">
        <f>-J9</f>
        <v>-4945866.24</v>
      </c>
      <c r="K11" s="1">
        <v>0</v>
      </c>
    </row>
    <row r="12" spans="1:11" x14ac:dyDescent="0.2">
      <c r="A12" t="s">
        <v>4</v>
      </c>
      <c r="B12" s="1">
        <f>+B9+B11</f>
        <v>22089763.507346433</v>
      </c>
      <c r="C12" s="1">
        <f t="shared" ref="C12:J12" si="1">+C9+C11</f>
        <v>9479.4977600914681</v>
      </c>
      <c r="D12" s="1">
        <f t="shared" si="1"/>
        <v>1888475.9358460533</v>
      </c>
      <c r="E12" s="1">
        <f t="shared" si="1"/>
        <v>0</v>
      </c>
      <c r="G12" s="1">
        <f t="shared" si="1"/>
        <v>6041060.5033395784</v>
      </c>
      <c r="H12" s="1">
        <f t="shared" si="1"/>
        <v>5956818.3371825628</v>
      </c>
      <c r="I12" s="1">
        <f t="shared" si="1"/>
        <v>6372444.6285252795</v>
      </c>
      <c r="J12" s="1">
        <f t="shared" si="1"/>
        <v>0</v>
      </c>
      <c r="K12" s="1">
        <f>SUM(B12:J12)</f>
        <v>42358042.409999996</v>
      </c>
    </row>
    <row r="14" spans="1:11" x14ac:dyDescent="0.2">
      <c r="A14" t="s">
        <v>5</v>
      </c>
      <c r="B14" s="1">
        <f>B$9/($K$9-$J$9-$I$9)*-I14</f>
        <v>3911725.898305052</v>
      </c>
      <c r="C14" s="1">
        <f t="shared" ref="C14:H14" si="2">C$9/($K$9-$J$9-$I$9)*-$I$14</f>
        <v>1678.6597501934489</v>
      </c>
      <c r="D14" s="1">
        <f t="shared" si="2"/>
        <v>334417.35236858029</v>
      </c>
      <c r="E14" s="1">
        <f t="shared" si="2"/>
        <v>0</v>
      </c>
      <c r="G14" s="1">
        <f t="shared" si="2"/>
        <v>1069770.2950184229</v>
      </c>
      <c r="H14" s="1">
        <f t="shared" si="2"/>
        <v>1054852.4230830297</v>
      </c>
      <c r="I14" s="1">
        <f>-I12</f>
        <v>-6372444.6285252795</v>
      </c>
      <c r="K14" s="1">
        <v>0</v>
      </c>
    </row>
    <row r="15" spans="1:11" x14ac:dyDescent="0.2">
      <c r="A15" t="s">
        <v>4</v>
      </c>
      <c r="B15" s="1">
        <f>+B12+B14</f>
        <v>26001489.405651484</v>
      </c>
      <c r="C15" s="1">
        <f>+C12+C14</f>
        <v>11158.157510284916</v>
      </c>
      <c r="D15" s="1">
        <f>+D12+D14</f>
        <v>2222893.2882146337</v>
      </c>
      <c r="E15" s="1">
        <f>+E12+E14</f>
        <v>0</v>
      </c>
      <c r="G15" s="1">
        <f>+G12+G14</f>
        <v>7110830.7983580008</v>
      </c>
      <c r="H15" s="1">
        <f>+H12+H14</f>
        <v>7011670.7602655925</v>
      </c>
      <c r="I15" s="1">
        <f>+I12+I14</f>
        <v>0</v>
      </c>
      <c r="J15" s="1">
        <f>+J12+J14</f>
        <v>0</v>
      </c>
      <c r="K15" s="1">
        <f>SUM(B15:J15)</f>
        <v>42358042.409999996</v>
      </c>
    </row>
    <row r="17" spans="1:11" x14ac:dyDescent="0.2">
      <c r="A17" t="s">
        <v>6</v>
      </c>
      <c r="B17" s="1">
        <f>B$9/($K$9-$J$9-$I$9-$H$9)*-$H$17</f>
        <v>5157923.5570656378</v>
      </c>
      <c r="C17" s="1">
        <f>C$9/($K$9-$J$9-$I$9-$H$9)*-$H$17</f>
        <v>2213.4471828847682</v>
      </c>
      <c r="D17" s="1">
        <f>D$9/($K$9-$J$9-$I$9-$H$9)*-$H$17</f>
        <v>440956.03437368083</v>
      </c>
      <c r="E17" s="1">
        <f>E$9/($K$9-$J$9-$I$9-$H$9)*-$H$17</f>
        <v>0</v>
      </c>
      <c r="G17" s="1">
        <f>G$9/($K$9-$J$9-$I$9-$H$9)*-$H$17</f>
        <v>1410577.721643389</v>
      </c>
      <c r="H17" s="1">
        <f>-H15</f>
        <v>-7011670.7602655925</v>
      </c>
      <c r="K17" s="1">
        <v>0</v>
      </c>
    </row>
    <row r="18" spans="1:11" x14ac:dyDescent="0.2">
      <c r="A18" t="s">
        <v>4</v>
      </c>
      <c r="B18" s="1">
        <f>+B15+B17</f>
        <v>31159412.962717123</v>
      </c>
      <c r="C18" s="1">
        <f>+C15+C17</f>
        <v>13371.604693169684</v>
      </c>
      <c r="D18" s="1">
        <f>+D15+D17</f>
        <v>2663849.3225883143</v>
      </c>
      <c r="E18" s="1">
        <f>+E15+E17</f>
        <v>0</v>
      </c>
      <c r="G18" s="1">
        <f>+G15+G17</f>
        <v>8521408.5200013891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42358042.409999996</v>
      </c>
    </row>
    <row r="20" spans="1:11" x14ac:dyDescent="0.2">
      <c r="A20" t="s">
        <v>7</v>
      </c>
      <c r="B20" s="1">
        <f>B$9/($K$9-$J$9-$I$9-$H$9-$G$9)*-$G$20</f>
        <v>7847177.9421658749</v>
      </c>
      <c r="C20" s="1">
        <f>C$9/($K$9-$J$9-$I$9-$H$9-$G$9)*-$G$20</f>
        <v>3367.5012274831038</v>
      </c>
      <c r="D20" s="1">
        <f>D$9/($K$9-$J$9-$I$9-$H$9-$G$9)*-$G$20</f>
        <v>670863.07660802966</v>
      </c>
      <c r="E20" s="1">
        <f>E$9/($K$9-$J$9-$I$9-$H$9-$G$9)*-$G$20</f>
        <v>0</v>
      </c>
      <c r="G20" s="1">
        <f>-G18</f>
        <v>-8521408.5200013891</v>
      </c>
      <c r="K20" s="1">
        <f>SUM(B20:J20)</f>
        <v>0</v>
      </c>
    </row>
    <row r="22" spans="1:11" x14ac:dyDescent="0.2">
      <c r="A22" t="s">
        <v>8</v>
      </c>
      <c r="B22" s="1">
        <f>+B20+B18</f>
        <v>39006590.904882997</v>
      </c>
      <c r="C22" s="1">
        <f t="shared" ref="C22:K22" si="3">+C20+C18</f>
        <v>16739.105920652786</v>
      </c>
      <c r="D22" s="1">
        <f t="shared" si="3"/>
        <v>3334712.399196344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42358042.409999996</v>
      </c>
    </row>
    <row r="27" spans="1:11" x14ac:dyDescent="0.2">
      <c r="A27" t="s">
        <v>9</v>
      </c>
      <c r="B27" s="1">
        <f>+B9</f>
        <v>19510489.079999998</v>
      </c>
    </row>
    <row r="28" spans="1:11" x14ac:dyDescent="0.2">
      <c r="A28" t="s">
        <v>10</v>
      </c>
      <c r="B28" s="1">
        <f>+B22-B27</f>
        <v>19496101.824882999</v>
      </c>
    </row>
    <row r="29" spans="1:11" x14ac:dyDescent="0.2">
      <c r="A29" s="29" t="s">
        <v>170</v>
      </c>
      <c r="B29" s="1">
        <v>2946</v>
      </c>
    </row>
    <row r="30" spans="1:11" x14ac:dyDescent="0.2">
      <c r="A30" t="s">
        <v>11</v>
      </c>
      <c r="B30" s="1">
        <f>+B28/B29</f>
        <v>6617.8213933750849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17234498.699999999</v>
      </c>
      <c r="C9" s="1">
        <f>'Master Expend Table'!C20</f>
        <v>0</v>
      </c>
      <c r="D9" s="1">
        <f>'Master Expend Table'!D20</f>
        <v>1980321.44</v>
      </c>
      <c r="E9" s="1">
        <f>'Master Expend Table'!E20</f>
        <v>0</v>
      </c>
      <c r="G9" s="1">
        <f>'Master Expend Table'!G20</f>
        <v>3250497.16</v>
      </c>
      <c r="H9" s="1">
        <f>'Master Expend Table'!H20</f>
        <v>3368041.2</v>
      </c>
      <c r="I9" s="1">
        <f>'Master Expend Table'!I20</f>
        <v>5583449.4199999999</v>
      </c>
      <c r="J9" s="1">
        <f>'Master Expend Table'!J20</f>
        <v>4201664.1500000004</v>
      </c>
      <c r="K9" s="1">
        <f>SUM(B9:J9)</f>
        <v>35618472.07</v>
      </c>
    </row>
    <row r="11" spans="1:11" x14ac:dyDescent="0.2">
      <c r="A11" t="s">
        <v>3</v>
      </c>
      <c r="B11" s="1">
        <f>(B9/($K9-$J9))*-$J$11</f>
        <v>2304931.0265831617</v>
      </c>
      <c r="C11" s="1">
        <f t="shared" ref="C11:I11" si="0">(C9/($K9-$J9))*-$J$11</f>
        <v>0</v>
      </c>
      <c r="D11" s="1">
        <f t="shared" si="0"/>
        <v>264846.94502102607</v>
      </c>
      <c r="E11" s="1">
        <f t="shared" si="0"/>
        <v>0</v>
      </c>
      <c r="G11" s="1">
        <f t="shared" si="0"/>
        <v>434719.44767992885</v>
      </c>
      <c r="H11" s="1">
        <f t="shared" si="0"/>
        <v>450439.71372897463</v>
      </c>
      <c r="I11" s="1">
        <f t="shared" si="0"/>
        <v>746727.01698690886</v>
      </c>
      <c r="J11" s="1">
        <f>-J9</f>
        <v>-4201664.1500000004</v>
      </c>
      <c r="K11" s="1">
        <v>0</v>
      </c>
    </row>
    <row r="12" spans="1:11" x14ac:dyDescent="0.2">
      <c r="A12" t="s">
        <v>4</v>
      </c>
      <c r="B12" s="1">
        <f>+B9+B11</f>
        <v>19539429.72658316</v>
      </c>
      <c r="C12" s="1">
        <f t="shared" ref="C12:J12" si="1">+C9+C11</f>
        <v>0</v>
      </c>
      <c r="D12" s="1">
        <f t="shared" si="1"/>
        <v>2245168.3850210262</v>
      </c>
      <c r="E12" s="1">
        <f t="shared" si="1"/>
        <v>0</v>
      </c>
      <c r="G12" s="1">
        <f t="shared" si="1"/>
        <v>3685216.6076799291</v>
      </c>
      <c r="H12" s="1">
        <f t="shared" si="1"/>
        <v>3818480.9137289748</v>
      </c>
      <c r="I12" s="1">
        <f t="shared" si="1"/>
        <v>6330176.4369869083</v>
      </c>
      <c r="J12" s="1">
        <f t="shared" si="1"/>
        <v>0</v>
      </c>
      <c r="K12" s="1">
        <f>SUM(B12:J12)</f>
        <v>35618472.07</v>
      </c>
    </row>
    <row r="14" spans="1:11" x14ac:dyDescent="0.2">
      <c r="A14" t="s">
        <v>5</v>
      </c>
      <c r="B14" s="1">
        <f>B$9/($K$9-$J$9-$I$9)*-I14</f>
        <v>4223121.7274370845</v>
      </c>
      <c r="C14" s="1">
        <f t="shared" ref="C14:H14" si="2">C$9/($K$9-$J$9-$I$9)*-$I$14</f>
        <v>0</v>
      </c>
      <c r="D14" s="1">
        <f t="shared" si="2"/>
        <v>485255.68664051109</v>
      </c>
      <c r="E14" s="1">
        <f t="shared" si="2"/>
        <v>0</v>
      </c>
      <c r="G14" s="1">
        <f t="shared" si="2"/>
        <v>796498.08331057173</v>
      </c>
      <c r="H14" s="1">
        <f t="shared" si="2"/>
        <v>825300.93959874054</v>
      </c>
      <c r="I14" s="1">
        <f>-I12</f>
        <v>-6330176.4369869083</v>
      </c>
      <c r="K14" s="1">
        <v>0</v>
      </c>
    </row>
    <row r="15" spans="1:11" x14ac:dyDescent="0.2">
      <c r="A15" t="s">
        <v>4</v>
      </c>
      <c r="B15" s="1">
        <f>+B12+B14</f>
        <v>23762551.454020247</v>
      </c>
      <c r="C15" s="1">
        <f>+C12+C14</f>
        <v>0</v>
      </c>
      <c r="D15" s="1">
        <f>+D12+D14</f>
        <v>2730424.0716615375</v>
      </c>
      <c r="E15" s="1">
        <f>+E12+E14</f>
        <v>0</v>
      </c>
      <c r="G15" s="1">
        <f>+G12+G14</f>
        <v>4481714.6909905011</v>
      </c>
      <c r="H15" s="1">
        <f>+H12+H14</f>
        <v>4643781.8533277158</v>
      </c>
      <c r="I15" s="1">
        <f>+I12+I14</f>
        <v>0</v>
      </c>
      <c r="J15" s="1">
        <f>+J12+J14</f>
        <v>0</v>
      </c>
      <c r="K15" s="1">
        <f>SUM(B15:J15)</f>
        <v>35618472.07</v>
      </c>
    </row>
    <row r="17" spans="1:11" x14ac:dyDescent="0.2">
      <c r="A17" t="s">
        <v>6</v>
      </c>
      <c r="B17" s="1">
        <f>B$9/($K$9-$J$9-$I$9-$H$9)*-$H$17</f>
        <v>3562524.902074724</v>
      </c>
      <c r="C17" s="1">
        <f>C$9/($K$9-$J$9-$I$9-$H$9)*-$H$17</f>
        <v>0</v>
      </c>
      <c r="D17" s="1">
        <f>D$9/($K$9-$J$9-$I$9-$H$9)*-$H$17</f>
        <v>409350.1393291165</v>
      </c>
      <c r="E17" s="1">
        <f>E$9/($K$9-$J$9-$I$9-$H$9)*-$H$17</f>
        <v>0</v>
      </c>
      <c r="G17" s="1">
        <f>G$9/($K$9-$J$9-$I$9-$H$9)*-$H$17</f>
        <v>671906.81192387512</v>
      </c>
      <c r="H17" s="1">
        <f>-H15</f>
        <v>-4643781.8533277158</v>
      </c>
      <c r="K17" s="1">
        <v>0</v>
      </c>
    </row>
    <row r="18" spans="1:11" x14ac:dyDescent="0.2">
      <c r="A18" t="s">
        <v>4</v>
      </c>
      <c r="B18" s="1">
        <f>+B15+B17</f>
        <v>27325076.356094971</v>
      </c>
      <c r="C18" s="1">
        <f>+C15+C17</f>
        <v>0</v>
      </c>
      <c r="D18" s="1">
        <f>+D15+D17</f>
        <v>3139774.2109906538</v>
      </c>
      <c r="E18" s="1">
        <f>+E15+E17</f>
        <v>0</v>
      </c>
      <c r="G18" s="1">
        <f>+G15+G17</f>
        <v>5153621.5029143766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35618472.07</v>
      </c>
    </row>
    <row r="20" spans="1:11" x14ac:dyDescent="0.2">
      <c r="A20" t="s">
        <v>7</v>
      </c>
      <c r="B20" s="1">
        <f>B$9/($K$9-$J$9-$I$9-$H$9-$G$9)*-$G$20</f>
        <v>4622477.985488438</v>
      </c>
      <c r="C20" s="1">
        <f>C$9/($K$9-$J$9-$I$9-$H$9-$G$9)*-$G$20</f>
        <v>0</v>
      </c>
      <c r="D20" s="1">
        <f>D$9/($K$9-$J$9-$I$9-$H$9-$G$9)*-$G$20</f>
        <v>531143.51742593839</v>
      </c>
      <c r="E20" s="1">
        <f>E$9/($K$9-$J$9-$I$9-$H$9-$G$9)*-$G$20</f>
        <v>0</v>
      </c>
      <c r="G20" s="1">
        <f>-G18</f>
        <v>-5153621.5029143766</v>
      </c>
      <c r="K20" s="1">
        <f>SUM(B20:J20)</f>
        <v>0</v>
      </c>
    </row>
    <row r="22" spans="1:11" x14ac:dyDescent="0.2">
      <c r="A22" t="s">
        <v>8</v>
      </c>
      <c r="B22" s="1">
        <f>+B20+B18</f>
        <v>31947554.341583408</v>
      </c>
      <c r="C22" s="1">
        <f t="shared" ref="C22:K22" si="3">+C20+C18</f>
        <v>0</v>
      </c>
      <c r="D22" s="1">
        <f t="shared" si="3"/>
        <v>3670917.7284165923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35618472.07</v>
      </c>
    </row>
    <row r="27" spans="1:11" x14ac:dyDescent="0.2">
      <c r="A27" t="s">
        <v>9</v>
      </c>
      <c r="B27" s="1">
        <f>+B9</f>
        <v>17234498.699999999</v>
      </c>
    </row>
    <row r="28" spans="1:11" x14ac:dyDescent="0.2">
      <c r="A28" t="s">
        <v>10</v>
      </c>
      <c r="B28" s="1">
        <f>+B22-B27</f>
        <v>14713055.641583409</v>
      </c>
    </row>
    <row r="29" spans="1:11" x14ac:dyDescent="0.2">
      <c r="A29" s="29" t="s">
        <v>170</v>
      </c>
      <c r="B29" s="1">
        <v>3096</v>
      </c>
    </row>
    <row r="30" spans="1:11" x14ac:dyDescent="0.2">
      <c r="A30" t="s">
        <v>11</v>
      </c>
      <c r="B30" s="1">
        <f>+B28/B29</f>
        <v>4752.2789539998093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topLeftCell="A15"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30309520.66</v>
      </c>
      <c r="C9" s="1">
        <f>'Master Expend Table'!C21</f>
        <v>360526.87</v>
      </c>
      <c r="D9" s="1">
        <f>'Master Expend Table'!D21</f>
        <v>0</v>
      </c>
      <c r="E9" s="1">
        <f>'Master Expend Table'!E21</f>
        <v>0</v>
      </c>
      <c r="G9" s="1">
        <f>'Master Expend Table'!G21</f>
        <v>23148587.620000001</v>
      </c>
      <c r="H9" s="1">
        <f>'Master Expend Table'!H21</f>
        <v>5339232.8</v>
      </c>
      <c r="I9" s="1">
        <f>'Master Expend Table'!I21</f>
        <v>15310007.16</v>
      </c>
      <c r="J9" s="1">
        <f>'Master Expend Table'!J21</f>
        <v>7922915.1299999999</v>
      </c>
      <c r="K9" s="1">
        <f>SUM(B9:J9)</f>
        <v>82390790.239999995</v>
      </c>
    </row>
    <row r="11" spans="1:11" x14ac:dyDescent="0.2">
      <c r="A11" t="s">
        <v>3</v>
      </c>
      <c r="B11" s="1">
        <f>(B9/($K9-$J9))*-$J$11</f>
        <v>3224743.0112036881</v>
      </c>
      <c r="C11" s="1">
        <f t="shared" ref="C11:I11" si="0">(C9/($K9-$J9))*-$J$11</f>
        <v>38357.799102971388</v>
      </c>
      <c r="D11" s="1">
        <f t="shared" si="0"/>
        <v>0</v>
      </c>
      <c r="E11" s="1">
        <f t="shared" si="0"/>
        <v>0</v>
      </c>
      <c r="G11" s="1">
        <f t="shared" si="0"/>
        <v>2462864.6221167659</v>
      </c>
      <c r="H11" s="1">
        <f t="shared" si="0"/>
        <v>568060.90238543216</v>
      </c>
      <c r="I11" s="1">
        <f t="shared" si="0"/>
        <v>1628888.795191142</v>
      </c>
      <c r="J11" s="1">
        <f>-J9</f>
        <v>-7922915.1299999999</v>
      </c>
      <c r="K11" s="1">
        <v>0</v>
      </c>
    </row>
    <row r="12" spans="1:11" x14ac:dyDescent="0.2">
      <c r="A12" t="s">
        <v>4</v>
      </c>
      <c r="B12" s="1">
        <f>+B9+B11</f>
        <v>33534263.671203688</v>
      </c>
      <c r="C12" s="1">
        <f t="shared" ref="C12:J12" si="1">+C9+C11</f>
        <v>398884.66910297138</v>
      </c>
      <c r="D12" s="1">
        <f t="shared" si="1"/>
        <v>0</v>
      </c>
      <c r="E12" s="1">
        <f t="shared" si="1"/>
        <v>0</v>
      </c>
      <c r="G12" s="1">
        <f t="shared" si="1"/>
        <v>25611452.242116768</v>
      </c>
      <c r="H12" s="1">
        <f t="shared" si="1"/>
        <v>5907293.7023854321</v>
      </c>
      <c r="I12" s="1">
        <f t="shared" si="1"/>
        <v>16938895.955191143</v>
      </c>
      <c r="J12" s="1">
        <f t="shared" si="1"/>
        <v>0</v>
      </c>
      <c r="K12" s="1">
        <f>SUM(B12:J12)</f>
        <v>82390790.24000001</v>
      </c>
    </row>
    <row r="14" spans="1:11" x14ac:dyDescent="0.2">
      <c r="A14" t="s">
        <v>5</v>
      </c>
      <c r="B14" s="1">
        <f>B$9/($K$9-$J$9-$I$9)*-I14</f>
        <v>8678639.6248321235</v>
      </c>
      <c r="C14" s="1">
        <f t="shared" ref="C14:H14" si="2">C$9/($K$9-$J$9-$I$9)*-$I$14</f>
        <v>103231.02152941472</v>
      </c>
      <c r="D14" s="1">
        <f t="shared" si="2"/>
        <v>0</v>
      </c>
      <c r="E14" s="1">
        <f t="shared" si="2"/>
        <v>0</v>
      </c>
      <c r="G14" s="1">
        <f t="shared" si="2"/>
        <v>6628222.5981540931</v>
      </c>
      <c r="H14" s="1">
        <f t="shared" si="2"/>
        <v>1528802.7106755099</v>
      </c>
      <c r="I14" s="1">
        <f>-I12</f>
        <v>-16938895.955191143</v>
      </c>
      <c r="K14" s="1">
        <v>0</v>
      </c>
    </row>
    <row r="15" spans="1:11" x14ac:dyDescent="0.2">
      <c r="A15" t="s">
        <v>4</v>
      </c>
      <c r="B15" s="1">
        <f>+B12+B14</f>
        <v>42212903.296035811</v>
      </c>
      <c r="C15" s="1">
        <f>+C12+C14</f>
        <v>502115.69063238613</v>
      </c>
      <c r="D15" s="1">
        <f>+D12+D14</f>
        <v>0</v>
      </c>
      <c r="E15" s="1">
        <f>+E12+E14</f>
        <v>0</v>
      </c>
      <c r="G15" s="1">
        <f>+G12+G14</f>
        <v>32239674.840270862</v>
      </c>
      <c r="H15" s="1">
        <f>+H12+H14</f>
        <v>7436096.4130609417</v>
      </c>
      <c r="I15" s="1">
        <f>+I12+I14</f>
        <v>0</v>
      </c>
      <c r="J15" s="1">
        <f>+J12+J14</f>
        <v>0</v>
      </c>
      <c r="K15" s="1">
        <f>SUM(B15:J15)</f>
        <v>82390790.24000001</v>
      </c>
    </row>
    <row r="17" spans="1:11" x14ac:dyDescent="0.2">
      <c r="A17" t="s">
        <v>6</v>
      </c>
      <c r="B17" s="1">
        <f>B$9/($K$9-$J$9-$I$9-$H$9)*-$H$17</f>
        <v>4187852.724864623</v>
      </c>
      <c r="C17" s="1">
        <f>C$9/($K$9-$J$9-$I$9-$H$9)*-$H$17</f>
        <v>49813.83413657765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3198429.8540597404</v>
      </c>
      <c r="H17" s="1">
        <f>-H15</f>
        <v>-7436096.4130609417</v>
      </c>
      <c r="K17" s="1">
        <v>0</v>
      </c>
    </row>
    <row r="18" spans="1:11" x14ac:dyDescent="0.2">
      <c r="A18" t="s">
        <v>4</v>
      </c>
      <c r="B18" s="1">
        <f>+B15+B17</f>
        <v>46400756.020900436</v>
      </c>
      <c r="C18" s="1">
        <f>+C15+C17</f>
        <v>551929.52476896381</v>
      </c>
      <c r="D18" s="1">
        <f>+D15+D17</f>
        <v>0</v>
      </c>
      <c r="E18" s="1">
        <f>+E15+E17</f>
        <v>0</v>
      </c>
      <c r="G18" s="1">
        <f>+G15+G17</f>
        <v>35438104.694330603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82390790.24000001</v>
      </c>
    </row>
    <row r="20" spans="1:11" x14ac:dyDescent="0.2">
      <c r="A20" t="s">
        <v>7</v>
      </c>
      <c r="B20" s="1">
        <f>B$9/($K$9-$J$9-$I$9-$H$9-$G$9)*-$G$20</f>
        <v>35021529.240651168</v>
      </c>
      <c r="C20" s="1">
        <f>C$9/($K$9-$J$9-$I$9-$H$9-$G$9)*-$G$20</f>
        <v>416575.45367942628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-35438104.694330603</v>
      </c>
      <c r="K20" s="1">
        <f>SUM(B20:J20)</f>
        <v>0</v>
      </c>
    </row>
    <row r="22" spans="1:11" x14ac:dyDescent="0.2">
      <c r="A22" t="s">
        <v>8</v>
      </c>
      <c r="B22" s="1">
        <f>+B20+B18</f>
        <v>81422285.261551604</v>
      </c>
      <c r="C22" s="1">
        <f t="shared" ref="C22:K22" si="3">+C20+C18</f>
        <v>968504.97844839003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82390790.24000001</v>
      </c>
    </row>
    <row r="27" spans="1:11" x14ac:dyDescent="0.2">
      <c r="A27" t="s">
        <v>9</v>
      </c>
      <c r="B27" s="1">
        <f>+B9</f>
        <v>30309520.66</v>
      </c>
    </row>
    <row r="28" spans="1:11" x14ac:dyDescent="0.2">
      <c r="A28" t="s">
        <v>10</v>
      </c>
      <c r="B28" s="1">
        <f>+B22-B27</f>
        <v>51112764.601551607</v>
      </c>
    </row>
    <row r="29" spans="1:11" x14ac:dyDescent="0.2">
      <c r="A29" s="29" t="s">
        <v>170</v>
      </c>
      <c r="B29" s="1">
        <v>5827</v>
      </c>
    </row>
    <row r="30" spans="1:11" x14ac:dyDescent="0.2">
      <c r="A30" t="s">
        <v>11</v>
      </c>
      <c r="B30" s="1">
        <f>+B28/B29</f>
        <v>8771.7117902096452</v>
      </c>
    </row>
  </sheetData>
  <phoneticPr fontId="0" type="noConversion"/>
  <pageMargins left="0.63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topLeftCell="A4" zoomScale="75" workbookViewId="0">
      <selection activeCell="H50" sqref="H50:H5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20468079.780000001</v>
      </c>
      <c r="C9" s="1">
        <f>'Master Expend Table'!C22</f>
        <v>0</v>
      </c>
      <c r="D9" s="1">
        <f>'Master Expend Table'!D22</f>
        <v>907656.86</v>
      </c>
      <c r="E9" s="1">
        <f>'Master Expend Table'!E22</f>
        <v>0</v>
      </c>
      <c r="G9" s="1">
        <f>'Master Expend Table'!G22</f>
        <v>7605469.4800000004</v>
      </c>
      <c r="H9" s="1">
        <f>'Master Expend Table'!H22</f>
        <v>6295469.71</v>
      </c>
      <c r="I9" s="1">
        <f>'Master Expend Table'!I22</f>
        <v>7499101.1699999999</v>
      </c>
      <c r="J9" s="1">
        <f>'Master Expend Table'!J22</f>
        <v>6677832.46</v>
      </c>
      <c r="K9" s="1">
        <f>SUM(B9:J9)</f>
        <v>49453609.460000001</v>
      </c>
    </row>
    <row r="11" spans="1:11" x14ac:dyDescent="0.2">
      <c r="A11" t="s">
        <v>3</v>
      </c>
      <c r="B11" s="1">
        <f>(B9/($K9-$J9))*-$J$11</f>
        <v>3195322.613280728</v>
      </c>
      <c r="C11" s="1">
        <f t="shared" ref="C11:I11" si="0">(C9/($K9-$J9))*-$J$11</f>
        <v>0</v>
      </c>
      <c r="D11" s="1">
        <f t="shared" si="0"/>
        <v>141696.55976675011</v>
      </c>
      <c r="E11" s="1">
        <f t="shared" si="0"/>
        <v>0</v>
      </c>
      <c r="G11" s="1">
        <f t="shared" si="0"/>
        <v>1187308.6716129861</v>
      </c>
      <c r="H11" s="1">
        <f t="shared" si="0"/>
        <v>982801.36396785465</v>
      </c>
      <c r="I11" s="1">
        <f t="shared" si="0"/>
        <v>1170703.2513716812</v>
      </c>
      <c r="J11" s="1">
        <f>-J9</f>
        <v>-6677832.46</v>
      </c>
      <c r="K11" s="1">
        <v>0</v>
      </c>
    </row>
    <row r="12" spans="1:11" x14ac:dyDescent="0.2">
      <c r="A12" t="s">
        <v>4</v>
      </c>
      <c r="B12" s="1">
        <f>+B9+B11</f>
        <v>23663402.39328073</v>
      </c>
      <c r="C12" s="1">
        <f t="shared" ref="C12:J12" si="1">+C9+C11</f>
        <v>0</v>
      </c>
      <c r="D12" s="1">
        <f t="shared" si="1"/>
        <v>1049353.4197667502</v>
      </c>
      <c r="E12" s="1">
        <f t="shared" si="1"/>
        <v>0</v>
      </c>
      <c r="G12" s="1">
        <f t="shared" si="1"/>
        <v>8792778.1516129859</v>
      </c>
      <c r="H12" s="1">
        <f t="shared" si="1"/>
        <v>7278271.0739678545</v>
      </c>
      <c r="I12" s="1">
        <f t="shared" si="1"/>
        <v>8669804.4213716816</v>
      </c>
      <c r="J12" s="1">
        <f t="shared" si="1"/>
        <v>0</v>
      </c>
      <c r="K12" s="1">
        <f>SUM(B12:J12)</f>
        <v>49453609.460000001</v>
      </c>
    </row>
    <row r="14" spans="1:11" x14ac:dyDescent="0.2">
      <c r="A14" t="s">
        <v>5</v>
      </c>
      <c r="B14" s="1">
        <f>B$9/($K$9-$J$9-$I$9)*-I14</f>
        <v>5030356.3019597679</v>
      </c>
      <c r="C14" s="1">
        <f t="shared" ref="C14:H14" si="2">C$9/($K$9-$J$9-$I$9)*-$I$14</f>
        <v>0</v>
      </c>
      <c r="D14" s="1">
        <f t="shared" si="2"/>
        <v>223071.11633302493</v>
      </c>
      <c r="E14" s="1">
        <f t="shared" si="2"/>
        <v>0</v>
      </c>
      <c r="G14" s="1">
        <f t="shared" si="2"/>
        <v>1869165.145890431</v>
      </c>
      <c r="H14" s="1">
        <f t="shared" si="2"/>
        <v>1547211.8571884583</v>
      </c>
      <c r="I14" s="1">
        <f>-I12</f>
        <v>-8669804.4213716816</v>
      </c>
      <c r="K14" s="1">
        <v>0</v>
      </c>
    </row>
    <row r="15" spans="1:11" x14ac:dyDescent="0.2">
      <c r="A15" t="s">
        <v>4</v>
      </c>
      <c r="B15" s="1">
        <f>+B12+B14</f>
        <v>28693758.695240498</v>
      </c>
      <c r="C15" s="1">
        <f>+C12+C14</f>
        <v>0</v>
      </c>
      <c r="D15" s="1">
        <f>+D12+D14</f>
        <v>1272424.5360997752</v>
      </c>
      <c r="E15" s="1">
        <f>+E12+E14</f>
        <v>0</v>
      </c>
      <c r="G15" s="1">
        <f>+G12+G14</f>
        <v>10661943.297503417</v>
      </c>
      <c r="H15" s="1">
        <f>+H12+H14</f>
        <v>8825482.931156313</v>
      </c>
      <c r="I15" s="1">
        <f>+I12+I14</f>
        <v>0</v>
      </c>
      <c r="J15" s="1">
        <f>+J12+J14</f>
        <v>0</v>
      </c>
      <c r="K15" s="1">
        <f>SUM(B15:J15)</f>
        <v>49453609.460000008</v>
      </c>
    </row>
    <row r="17" spans="1:11" x14ac:dyDescent="0.2">
      <c r="A17" t="s">
        <v>6</v>
      </c>
      <c r="B17" s="1">
        <f>B$9/($K$9-$J$9-$I$9-$H$9)*-$H$17</f>
        <v>6233028.6732709548</v>
      </c>
      <c r="C17" s="1">
        <f>C$9/($K$9-$J$9-$I$9-$H$9)*-$H$17</f>
        <v>0</v>
      </c>
      <c r="D17" s="1">
        <f>D$9/($K$9-$J$9-$I$9-$H$9)*-$H$17</f>
        <v>276403.61453931569</v>
      </c>
      <c r="E17" s="1">
        <f>E$9/($K$9-$J$9-$I$9-$H$9)*-$H$17</f>
        <v>0</v>
      </c>
      <c r="G17" s="1">
        <f>G$9/($K$9-$J$9-$I$9-$H$9)*-$H$17</f>
        <v>2316050.6433460433</v>
      </c>
      <c r="H17" s="1">
        <f>-H15</f>
        <v>-8825482.931156313</v>
      </c>
      <c r="K17" s="1">
        <v>0</v>
      </c>
    </row>
    <row r="18" spans="1:11" x14ac:dyDescent="0.2">
      <c r="A18" t="s">
        <v>4</v>
      </c>
      <c r="B18" s="1">
        <f>+B15+B17</f>
        <v>34926787.368511453</v>
      </c>
      <c r="C18" s="1">
        <f>+C15+C17</f>
        <v>0</v>
      </c>
      <c r="D18" s="1">
        <f>+D15+D17</f>
        <v>1548828.1506390909</v>
      </c>
      <c r="E18" s="1">
        <f>+E15+E17</f>
        <v>0</v>
      </c>
      <c r="G18" s="1">
        <f>+G15+G17</f>
        <v>12977993.940849461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49453609.460000008</v>
      </c>
    </row>
    <row r="20" spans="1:11" x14ac:dyDescent="0.2">
      <c r="A20" t="s">
        <v>7</v>
      </c>
      <c r="B20" s="1">
        <f>B$9/($K$9-$J$9-$I$9-$H$9-$G$9)*-$G$20</f>
        <v>12426922.16129696</v>
      </c>
      <c r="C20" s="1">
        <f>C$9/($K$9-$J$9-$I$9-$H$9-$G$9)*-$G$20</f>
        <v>0</v>
      </c>
      <c r="D20" s="1">
        <f>D$9/($K$9-$J$9-$I$9-$H$9-$G$9)*-$G$20</f>
        <v>551071.77955250337</v>
      </c>
      <c r="E20" s="1">
        <f>E$9/($K$9-$J$9-$I$9-$H$9-$G$9)*-$G$20</f>
        <v>0</v>
      </c>
      <c r="G20" s="1">
        <f>-G18</f>
        <v>-12977993.940849461</v>
      </c>
      <c r="K20" s="1">
        <f>SUM(B20:J20)</f>
        <v>0</v>
      </c>
    </row>
    <row r="22" spans="1:11" x14ac:dyDescent="0.2">
      <c r="A22" t="s">
        <v>8</v>
      </c>
      <c r="B22" s="1">
        <f>+B20+B18</f>
        <v>47353709.529808417</v>
      </c>
      <c r="C22" s="1">
        <f t="shared" ref="C22:K22" si="3">+C20+C18</f>
        <v>0</v>
      </c>
      <c r="D22" s="1">
        <f t="shared" si="3"/>
        <v>2099899.9301915942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49453609.460000008</v>
      </c>
    </row>
    <row r="27" spans="1:11" x14ac:dyDescent="0.2">
      <c r="A27" t="s">
        <v>9</v>
      </c>
      <c r="B27" s="1">
        <f>+B9</f>
        <v>20468079.780000001</v>
      </c>
    </row>
    <row r="28" spans="1:11" x14ac:dyDescent="0.2">
      <c r="A28" t="s">
        <v>10</v>
      </c>
      <c r="B28" s="1">
        <f>+B22-B27</f>
        <v>26885629.749808416</v>
      </c>
    </row>
    <row r="29" spans="1:11" x14ac:dyDescent="0.2">
      <c r="A29" s="29" t="s">
        <v>170</v>
      </c>
      <c r="B29" s="1">
        <v>4536</v>
      </c>
    </row>
    <row r="30" spans="1:11" x14ac:dyDescent="0.2">
      <c r="A30" t="s">
        <v>11</v>
      </c>
      <c r="B30" s="1">
        <f>+B28/B29</f>
        <v>5927.1670524268993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171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Table'!B50</f>
        <v>706107162.74000013</v>
      </c>
      <c r="C9" s="1">
        <f>+'Master Expend Table'!C50</f>
        <v>3316204.0700000003</v>
      </c>
      <c r="D9" s="1">
        <f>+'Master Expend Table'!D50</f>
        <v>27202824.109999996</v>
      </c>
      <c r="E9" s="1">
        <f>+'Master Expend Table'!E50</f>
        <v>31084005.869999997</v>
      </c>
      <c r="G9" s="1">
        <f>+'Master Expend Table'!G50</f>
        <v>225441159.79999998</v>
      </c>
      <c r="H9" s="1">
        <f>+'Master Expend Table'!H50</f>
        <v>163497163.14999998</v>
      </c>
      <c r="I9" s="1">
        <f>+'Master Expend Table'!I50</f>
        <v>241192558.97000015</v>
      </c>
      <c r="J9" s="1">
        <f>+'Master Expend Table'!J50</f>
        <v>164906316.19000003</v>
      </c>
      <c r="K9" s="1">
        <f>SUM(B9:J9)</f>
        <v>1562747394.9000006</v>
      </c>
    </row>
    <row r="11" spans="1:11" x14ac:dyDescent="0.2">
      <c r="A11" t="s">
        <v>3</v>
      </c>
      <c r="B11" s="1">
        <f>(B9/($K9-$J9))*-$J$11</f>
        <v>83300979.500677213</v>
      </c>
      <c r="C11" s="1">
        <f t="shared" ref="C11:I11" si="0">(C9/($K9-$J9))*-$J$11</f>
        <v>391219.72107348446</v>
      </c>
      <c r="D11" s="1">
        <f t="shared" si="0"/>
        <v>3209175.6225138628</v>
      </c>
      <c r="E11" s="1">
        <f t="shared" si="0"/>
        <v>3667046.9758840716</v>
      </c>
      <c r="G11" s="1">
        <f t="shared" si="0"/>
        <v>26595778.122737426</v>
      </c>
      <c r="H11" s="1">
        <f t="shared" si="0"/>
        <v>19288111.712572914</v>
      </c>
      <c r="I11" s="1">
        <f t="shared" si="0"/>
        <v>28454004.534541022</v>
      </c>
      <c r="J11" s="1">
        <f>-J9</f>
        <v>-164906316.19000003</v>
      </c>
      <c r="K11" s="1">
        <v>0</v>
      </c>
    </row>
    <row r="12" spans="1:11" x14ac:dyDescent="0.2">
      <c r="A12" t="s">
        <v>4</v>
      </c>
      <c r="B12" s="1">
        <f>+B9+B11</f>
        <v>789408142.24067736</v>
      </c>
      <c r="C12" s="1">
        <f t="shared" ref="C12:J12" si="1">+C9+C11</f>
        <v>3707423.7910734848</v>
      </c>
      <c r="D12" s="1">
        <f t="shared" si="1"/>
        <v>30411999.73251386</v>
      </c>
      <c r="E12" s="1">
        <f t="shared" si="1"/>
        <v>34751052.84588407</v>
      </c>
      <c r="G12" s="1">
        <f t="shared" si="1"/>
        <v>252036937.92273742</v>
      </c>
      <c r="H12" s="1">
        <f t="shared" si="1"/>
        <v>182785274.86257288</v>
      </c>
      <c r="I12" s="1">
        <f t="shared" si="1"/>
        <v>269646563.50454116</v>
      </c>
      <c r="J12" s="1">
        <f t="shared" si="1"/>
        <v>0</v>
      </c>
      <c r="K12" s="1">
        <f>SUM(B12:J12)</f>
        <v>1562747394.9000003</v>
      </c>
    </row>
    <row r="14" spans="1:11" x14ac:dyDescent="0.2">
      <c r="A14" t="s">
        <v>5</v>
      </c>
      <c r="B14" s="1">
        <f>B$9/($K$9-$J$9-$I$9)*-I14</f>
        <v>164612988.86336029</v>
      </c>
      <c r="C14" s="1">
        <f t="shared" ref="C14:H14" si="2">C$9/($K$9-$J$9-$I$9)*-$I$14</f>
        <v>773098.32338373479</v>
      </c>
      <c r="D14" s="1">
        <f t="shared" si="2"/>
        <v>6341726.0418306021</v>
      </c>
      <c r="E14" s="1">
        <f t="shared" si="2"/>
        <v>7246536.1946640294</v>
      </c>
      <c r="G14" s="1">
        <f t="shared" si="2"/>
        <v>52556531.197751231</v>
      </c>
      <c r="H14" s="1">
        <f t="shared" si="2"/>
        <v>38115682.883551233</v>
      </c>
      <c r="I14" s="1">
        <f>-I12</f>
        <v>-269646563.50454116</v>
      </c>
      <c r="K14" s="1">
        <v>0</v>
      </c>
    </row>
    <row r="15" spans="1:11" x14ac:dyDescent="0.2">
      <c r="A15" t="s">
        <v>4</v>
      </c>
      <c r="B15" s="1">
        <f>+B12+B14</f>
        <v>954021131.10403764</v>
      </c>
      <c r="C15" s="1">
        <f>+C12+C14</f>
        <v>4480522.1144572198</v>
      </c>
      <c r="D15" s="1">
        <f>+D12+D14</f>
        <v>36753725.774344459</v>
      </c>
      <c r="E15" s="1">
        <f>+E12+E14</f>
        <v>41997589.040548101</v>
      </c>
      <c r="G15" s="1">
        <f>+G12+G14</f>
        <v>304593469.12048864</v>
      </c>
      <c r="H15" s="1">
        <f>+H12+H14</f>
        <v>220900957.74612412</v>
      </c>
      <c r="I15" s="1">
        <f>+I12+I14</f>
        <v>0</v>
      </c>
      <c r="J15" s="1">
        <f>+J12+J14</f>
        <v>0</v>
      </c>
      <c r="K15" s="1">
        <f>SUM(B15:J15)</f>
        <v>1562747394.9000001</v>
      </c>
    </row>
    <row r="17" spans="1:11" x14ac:dyDescent="0.2">
      <c r="A17" t="s">
        <v>6</v>
      </c>
      <c r="B17" s="1">
        <f>B$9/($K$9-$J$9-$I$9-$H$9)*-$H$17</f>
        <v>157055364.709185</v>
      </c>
      <c r="C17" s="1">
        <f>C$9/($K$9-$J$9-$I$9-$H$9)*-$H$17</f>
        <v>737604.24358662229</v>
      </c>
      <c r="D17" s="1">
        <f>D$9/($K$9-$J$9-$I$9-$H$9)*-$H$17</f>
        <v>6050568.0825234847</v>
      </c>
      <c r="E17" s="1">
        <f>E$9/($K$9-$J$9-$I$9-$H$9)*-$H$17</f>
        <v>6913837.0719699021</v>
      </c>
      <c r="G17" s="1">
        <f>G$9/($K$9-$J$9-$I$9-$H$9)*-$H$17</f>
        <v>50143583.638859056</v>
      </c>
      <c r="H17" s="1">
        <f>-H15</f>
        <v>-220900957.74612412</v>
      </c>
      <c r="K17" s="1">
        <v>0</v>
      </c>
    </row>
    <row r="18" spans="1:11" x14ac:dyDescent="0.2">
      <c r="A18" t="s">
        <v>4</v>
      </c>
      <c r="B18" s="1">
        <f>+B15+B17</f>
        <v>1111076495.8132226</v>
      </c>
      <c r="C18" s="1">
        <f>+C15+C17</f>
        <v>5218126.358043842</v>
      </c>
      <c r="D18" s="1">
        <f>+D15+D17</f>
        <v>42804293.856867947</v>
      </c>
      <c r="E18" s="1">
        <f>+E15+E17</f>
        <v>48911426.112518005</v>
      </c>
      <c r="G18" s="1">
        <f>+G15+G17</f>
        <v>354737052.75934768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1562747394.9000003</v>
      </c>
    </row>
    <row r="20" spans="1:11" x14ac:dyDescent="0.2">
      <c r="A20" t="s">
        <v>7</v>
      </c>
      <c r="B20" s="1">
        <f>B$9/($K$9-$J$9-$I$9-$H$9-$G$9)*-$G$20</f>
        <v>326272042.35398442</v>
      </c>
      <c r="C20" s="1">
        <f>C$9/($K$9-$J$9-$I$9-$H$9-$G$9)*-$G$20</f>
        <v>1532323.6073444276</v>
      </c>
      <c r="D20" s="1">
        <f>D$9/($K$9-$J$9-$I$9-$H$9-$G$9)*-$G$20</f>
        <v>12569651.532389306</v>
      </c>
      <c r="E20" s="1">
        <f>E$9/($K$9-$J$9-$I$9-$H$9-$G$9)*-$G$20</f>
        <v>14363035.2656294</v>
      </c>
      <c r="G20" s="1">
        <f>-G18</f>
        <v>-354737052.75934768</v>
      </c>
      <c r="K20" s="1">
        <f>SUM(B20:J20)</f>
        <v>0</v>
      </c>
    </row>
    <row r="22" spans="1:11" x14ac:dyDescent="0.2">
      <c r="A22" t="s">
        <v>8</v>
      </c>
      <c r="B22" s="1">
        <f>+B20+B18</f>
        <v>1437348538.167207</v>
      </c>
      <c r="C22" s="1">
        <f t="shared" ref="C22:K22" si="3">+C20+C18</f>
        <v>6750449.9653882701</v>
      </c>
      <c r="D22" s="1">
        <f t="shared" si="3"/>
        <v>55373945.389257252</v>
      </c>
      <c r="E22" s="1">
        <f t="shared" si="3"/>
        <v>63274461.378147408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1562747394.9000003</v>
      </c>
    </row>
    <row r="27" spans="1:11" x14ac:dyDescent="0.2">
      <c r="A27" t="s">
        <v>9</v>
      </c>
      <c r="B27" s="1">
        <f>+B9</f>
        <v>706107162.74000013</v>
      </c>
    </row>
    <row r="28" spans="1:11" x14ac:dyDescent="0.2">
      <c r="A28" t="s">
        <v>10</v>
      </c>
      <c r="B28" s="1">
        <f>+B22-B27</f>
        <v>731241375.42720687</v>
      </c>
    </row>
    <row r="29" spans="1:11" x14ac:dyDescent="0.2">
      <c r="A29" s="29" t="s">
        <v>170</v>
      </c>
      <c r="B29" s="1">
        <v>122483</v>
      </c>
    </row>
    <row r="30" spans="1:11" x14ac:dyDescent="0.2">
      <c r="A30" t="s">
        <v>11</v>
      </c>
      <c r="B30" s="1">
        <f>+B28/B29</f>
        <v>5970.1458604639574</v>
      </c>
    </row>
  </sheetData>
  <phoneticPr fontId="0" type="noConversion"/>
  <pageMargins left="0.32" right="0.18" top="1" bottom="1" header="0.5" footer="0.5"/>
  <pageSetup scale="1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7484136.0300000003</v>
      </c>
      <c r="C9" s="1">
        <f>'Master Expend Table'!C23</f>
        <v>6254.52</v>
      </c>
      <c r="D9" s="1">
        <f>'Master Expend Table'!D23</f>
        <v>160122.65</v>
      </c>
      <c r="E9" s="1">
        <f>'Master Expend Table'!E23</f>
        <v>24065.66</v>
      </c>
      <c r="G9" s="1">
        <f>'Master Expend Table'!G23</f>
        <v>2311444.2999999998</v>
      </c>
      <c r="H9" s="1">
        <f>'Master Expend Table'!H23</f>
        <v>1435083.22</v>
      </c>
      <c r="I9" s="1">
        <f>'Master Expend Table'!I23</f>
        <v>2635599.94</v>
      </c>
      <c r="J9" s="1">
        <f>'Master Expend Table'!J23</f>
        <v>1681563.03</v>
      </c>
      <c r="K9" s="1">
        <f>SUM(B9:J9)</f>
        <v>15738269.35</v>
      </c>
    </row>
    <row r="11" spans="1:11" x14ac:dyDescent="0.2">
      <c r="A11" t="s">
        <v>3</v>
      </c>
      <c r="B11" s="1">
        <f>(B9/($K9-$J9))*-$J$11</f>
        <v>895305.49853153457</v>
      </c>
      <c r="C11" s="1">
        <f t="shared" ref="C11:I11" si="0">(C9/($K9-$J9))*-$J$11</f>
        <v>748.21009722821043</v>
      </c>
      <c r="D11" s="1">
        <f t="shared" si="0"/>
        <v>19155.00846187057</v>
      </c>
      <c r="E11" s="1">
        <f t="shared" si="0"/>
        <v>2878.9051451527944</v>
      </c>
      <c r="G11" s="1">
        <f t="shared" si="0"/>
        <v>276511.3812795534</v>
      </c>
      <c r="H11" s="1">
        <f t="shared" si="0"/>
        <v>171674.84564231519</v>
      </c>
      <c r="I11" s="1">
        <f t="shared" si="0"/>
        <v>315289.18084234529</v>
      </c>
      <c r="J11" s="1">
        <f>-J9</f>
        <v>-1681563.03</v>
      </c>
      <c r="K11" s="1">
        <v>0</v>
      </c>
    </row>
    <row r="12" spans="1:11" x14ac:dyDescent="0.2">
      <c r="A12" t="s">
        <v>4</v>
      </c>
      <c r="B12" s="1">
        <f>+B9+B11</f>
        <v>8379441.5285315346</v>
      </c>
      <c r="C12" s="1">
        <f t="shared" ref="C12:J12" si="1">+C9+C11</f>
        <v>7002.730097228211</v>
      </c>
      <c r="D12" s="1">
        <f t="shared" si="1"/>
        <v>179277.65846187057</v>
      </c>
      <c r="E12" s="1">
        <f t="shared" si="1"/>
        <v>26944.565145152796</v>
      </c>
      <c r="G12" s="1">
        <f t="shared" si="1"/>
        <v>2587955.6812795531</v>
      </c>
      <c r="H12" s="1">
        <f t="shared" si="1"/>
        <v>1606758.0656423152</v>
      </c>
      <c r="I12" s="1">
        <f t="shared" si="1"/>
        <v>2950889.1208423451</v>
      </c>
      <c r="J12" s="1">
        <f t="shared" si="1"/>
        <v>0</v>
      </c>
      <c r="K12" s="1">
        <f>SUM(B12:J12)</f>
        <v>15738269.350000001</v>
      </c>
    </row>
    <row r="14" spans="1:11" x14ac:dyDescent="0.2">
      <c r="A14" t="s">
        <v>5</v>
      </c>
      <c r="B14" s="1">
        <f>B$9/($K$9-$J$9-$I$9)*-I14</f>
        <v>1933687.9331152169</v>
      </c>
      <c r="C14" s="1">
        <f t="shared" ref="C14:H14" si="2">C$9/($K$9-$J$9-$I$9)*-$I$14</f>
        <v>1615.9901160198165</v>
      </c>
      <c r="D14" s="1">
        <f t="shared" si="2"/>
        <v>41371.139552020046</v>
      </c>
      <c r="E14" s="1">
        <f t="shared" si="2"/>
        <v>6217.8822188582735</v>
      </c>
      <c r="G14" s="1">
        <f t="shared" si="2"/>
        <v>597211.4794629073</v>
      </c>
      <c r="H14" s="1">
        <f t="shared" si="2"/>
        <v>370784.69637732249</v>
      </c>
      <c r="I14" s="1">
        <f>-I12</f>
        <v>-2950889.1208423451</v>
      </c>
      <c r="K14" s="1">
        <v>0</v>
      </c>
    </row>
    <row r="15" spans="1:11" x14ac:dyDescent="0.2">
      <c r="A15" t="s">
        <v>4</v>
      </c>
      <c r="B15" s="1">
        <f>+B12+B14</f>
        <v>10313129.461646751</v>
      </c>
      <c r="C15" s="1">
        <f>+C12+C14</f>
        <v>8618.720213248027</v>
      </c>
      <c r="D15" s="1">
        <f>+D12+D14</f>
        <v>220648.79801389063</v>
      </c>
      <c r="E15" s="1">
        <f>+E12+E14</f>
        <v>33162.447364011066</v>
      </c>
      <c r="G15" s="1">
        <f>+G12+G14</f>
        <v>3185167.1607424603</v>
      </c>
      <c r="H15" s="1">
        <f>+H12+H14</f>
        <v>1977542.7620196377</v>
      </c>
      <c r="I15" s="1">
        <f>+I12+I14</f>
        <v>0</v>
      </c>
      <c r="J15" s="1">
        <f>+J12+J14</f>
        <v>0</v>
      </c>
      <c r="K15" s="1">
        <f>SUM(B15:J15)</f>
        <v>15738269.349999998</v>
      </c>
    </row>
    <row r="17" spans="1:11" x14ac:dyDescent="0.2">
      <c r="A17" t="s">
        <v>6</v>
      </c>
      <c r="B17" s="1">
        <f>B$9/($K$9-$J$9-$I$9-$H$9)*-$H$17</f>
        <v>1482091.3990446711</v>
      </c>
      <c r="C17" s="1">
        <f>C$9/($K$9-$J$9-$I$9-$H$9)*-$H$17</f>
        <v>1238.5892319427653</v>
      </c>
      <c r="D17" s="1">
        <f>D$9/($K$9-$J$9-$I$9-$H$9)*-$H$17</f>
        <v>31709.258277236331</v>
      </c>
      <c r="E17" s="1">
        <f>E$9/($K$9-$J$9-$I$9-$H$9)*-$H$17</f>
        <v>4765.7481846082073</v>
      </c>
      <c r="G17" s="1">
        <f>G$9/($K$9-$J$9-$I$9-$H$9)*-$H$17</f>
        <v>457737.76728117943</v>
      </c>
      <c r="H17" s="1">
        <f>-H15</f>
        <v>-1977542.7620196377</v>
      </c>
      <c r="K17" s="1">
        <v>0</v>
      </c>
    </row>
    <row r="18" spans="1:11" x14ac:dyDescent="0.2">
      <c r="A18" t="s">
        <v>4</v>
      </c>
      <c r="B18" s="1">
        <f>+B15+B17</f>
        <v>11795220.860691421</v>
      </c>
      <c r="C18" s="1">
        <f>+C15+C17</f>
        <v>9857.3094451907928</v>
      </c>
      <c r="D18" s="1">
        <f>+D15+D17</f>
        <v>252358.05629112697</v>
      </c>
      <c r="E18" s="1">
        <f>+E15+E17</f>
        <v>37928.195548619275</v>
      </c>
      <c r="G18" s="1">
        <f>+G15+G17</f>
        <v>3642904.9280236396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15738269.35</v>
      </c>
    </row>
    <row r="20" spans="1:11" x14ac:dyDescent="0.2">
      <c r="A20" t="s">
        <v>7</v>
      </c>
      <c r="B20" s="1">
        <f>B$9/($K$9-$J$9-$I$9-$H$9-$G$9)*-$G$20</f>
        <v>3552507.117724278</v>
      </c>
      <c r="C20" s="1">
        <f>C$9/($K$9-$J$9-$I$9-$H$9-$G$9)*-$G$20</f>
        <v>2968.8432611170556</v>
      </c>
      <c r="D20" s="1">
        <f>D$9/($K$9-$J$9-$I$9-$H$9-$G$9)*-$G$20</f>
        <v>76005.680756429734</v>
      </c>
      <c r="E20" s="1">
        <f>E$9/($K$9-$J$9-$I$9-$H$9-$G$9)*-$G$20</f>
        <v>11423.286281814475</v>
      </c>
      <c r="G20" s="1">
        <f>-G18</f>
        <v>-3642904.9280236396</v>
      </c>
      <c r="K20" s="1">
        <f>SUM(B20:J20)</f>
        <v>0</v>
      </c>
    </row>
    <row r="22" spans="1:11" x14ac:dyDescent="0.2">
      <c r="A22" t="s">
        <v>8</v>
      </c>
      <c r="B22" s="1">
        <f>+B20+B18</f>
        <v>15347727.978415698</v>
      </c>
      <c r="C22" s="1">
        <f t="shared" ref="C22:K22" si="3">+C20+C18</f>
        <v>12826.152706307848</v>
      </c>
      <c r="D22" s="1">
        <f t="shared" si="3"/>
        <v>328363.73704755667</v>
      </c>
      <c r="E22" s="1">
        <f t="shared" si="3"/>
        <v>49351.481830433753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15738269.35</v>
      </c>
    </row>
    <row r="27" spans="1:11" x14ac:dyDescent="0.2">
      <c r="A27" t="s">
        <v>9</v>
      </c>
      <c r="B27" s="1">
        <f>+B9</f>
        <v>7484136.0300000003</v>
      </c>
    </row>
    <row r="28" spans="1:11" x14ac:dyDescent="0.2">
      <c r="A28" t="s">
        <v>10</v>
      </c>
      <c r="B28" s="1">
        <f>+B22-B27</f>
        <v>7863591.9484156976</v>
      </c>
    </row>
    <row r="29" spans="1:11" x14ac:dyDescent="0.2">
      <c r="A29" s="29" t="s">
        <v>170</v>
      </c>
      <c r="B29" s="1">
        <v>1157</v>
      </c>
    </row>
    <row r="30" spans="1:11" x14ac:dyDescent="0.2">
      <c r="A30" t="s">
        <v>11</v>
      </c>
      <c r="B30" s="1">
        <f>+B28/B29</f>
        <v>6796.5358240412252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19361698.98</v>
      </c>
      <c r="C9" s="1">
        <f>'Master Expend Table'!C24</f>
        <v>354671.95</v>
      </c>
      <c r="D9" s="1">
        <f>'Master Expend Table'!D24</f>
        <v>1363762.33</v>
      </c>
      <c r="E9" s="1">
        <f>'Master Expend Table'!E24</f>
        <v>0</v>
      </c>
      <c r="G9" s="1">
        <f>'Master Expend Table'!G24</f>
        <v>4639598.78</v>
      </c>
      <c r="H9" s="1">
        <f>'Master Expend Table'!H24</f>
        <v>5917200.8700000001</v>
      </c>
      <c r="I9" s="1">
        <f>'Master Expend Table'!I24</f>
        <v>6452882.04</v>
      </c>
      <c r="J9" s="1">
        <f>'Master Expend Table'!J24</f>
        <v>3880078.39</v>
      </c>
      <c r="K9" s="1">
        <f>SUM(B9:J9)</f>
        <v>41969893.340000004</v>
      </c>
    </row>
    <row r="11" spans="1:11" x14ac:dyDescent="0.2">
      <c r="A11" t="s">
        <v>3</v>
      </c>
      <c r="B11" s="1">
        <f>(B9/($K9-$J9))*-$J$11</f>
        <v>1972309.6556021217</v>
      </c>
      <c r="C11" s="1">
        <f t="shared" ref="C11:I11" si="0">(C9/($K9-$J9))*-$J$11</f>
        <v>36129.211195712582</v>
      </c>
      <c r="D11" s="1">
        <f t="shared" si="0"/>
        <v>138921.77614081712</v>
      </c>
      <c r="E11" s="1">
        <f t="shared" si="0"/>
        <v>0</v>
      </c>
      <c r="G11" s="1">
        <f t="shared" si="0"/>
        <v>472619.9638454364</v>
      </c>
      <c r="H11" s="1">
        <f t="shared" si="0"/>
        <v>602764.89279652433</v>
      </c>
      <c r="I11" s="1">
        <f t="shared" si="0"/>
        <v>657332.89041938796</v>
      </c>
      <c r="J11" s="1">
        <f>-J9</f>
        <v>-3880078.39</v>
      </c>
      <c r="K11" s="1">
        <v>0</v>
      </c>
    </row>
    <row r="12" spans="1:11" x14ac:dyDescent="0.2">
      <c r="A12" t="s">
        <v>4</v>
      </c>
      <c r="B12" s="1">
        <f>+B9+B11</f>
        <v>21334008.635602124</v>
      </c>
      <c r="C12" s="1">
        <f t="shared" ref="C12:J12" si="1">+C9+C11</f>
        <v>390801.16119571257</v>
      </c>
      <c r="D12" s="1">
        <f t="shared" si="1"/>
        <v>1502684.1061408173</v>
      </c>
      <c r="E12" s="1">
        <f t="shared" si="1"/>
        <v>0</v>
      </c>
      <c r="G12" s="1">
        <f t="shared" si="1"/>
        <v>5112218.7438454367</v>
      </c>
      <c r="H12" s="1">
        <f t="shared" si="1"/>
        <v>6519965.7627965249</v>
      </c>
      <c r="I12" s="1">
        <f t="shared" si="1"/>
        <v>7110214.9304193882</v>
      </c>
      <c r="J12" s="1">
        <f t="shared" si="1"/>
        <v>0</v>
      </c>
      <c r="K12" s="1">
        <f>SUM(B12:J12)</f>
        <v>41969893.340000004</v>
      </c>
    </row>
    <row r="14" spans="1:11" x14ac:dyDescent="0.2">
      <c r="A14" t="s">
        <v>5</v>
      </c>
      <c r="B14" s="1">
        <f>B$9/($K$9-$J$9-$I$9)*-I14</f>
        <v>4351428.1728102518</v>
      </c>
      <c r="C14" s="1">
        <f t="shared" ref="C14:H14" si="2">C$9/($K$9-$J$9-$I$9)*-$I$14</f>
        <v>79710.438475970412</v>
      </c>
      <c r="D14" s="1">
        <f t="shared" si="2"/>
        <v>306497.57698997925</v>
      </c>
      <c r="E14" s="1">
        <f t="shared" si="2"/>
        <v>0</v>
      </c>
      <c r="G14" s="1">
        <f t="shared" si="2"/>
        <v>1042722.5866223066</v>
      </c>
      <c r="H14" s="1">
        <f t="shared" si="2"/>
        <v>1329856.1555208794</v>
      </c>
      <c r="I14" s="1">
        <f>-I12</f>
        <v>-7110214.9304193882</v>
      </c>
      <c r="K14" s="1">
        <v>0</v>
      </c>
    </row>
    <row r="15" spans="1:11" x14ac:dyDescent="0.2">
      <c r="A15" t="s">
        <v>4</v>
      </c>
      <c r="B15" s="1">
        <f>+B12+B14</f>
        <v>25685436.808412377</v>
      </c>
      <c r="C15" s="1">
        <f>+C12+C14</f>
        <v>470511.59967168298</v>
      </c>
      <c r="D15" s="1">
        <f>+D12+D14</f>
        <v>1809181.6831307965</v>
      </c>
      <c r="E15" s="1">
        <f>+E12+E14</f>
        <v>0</v>
      </c>
      <c r="G15" s="1">
        <f>+G12+G14</f>
        <v>6154941.3304677438</v>
      </c>
      <c r="H15" s="1">
        <f>+H12+H14</f>
        <v>7849821.9183174046</v>
      </c>
      <c r="I15" s="1">
        <f>+I12+I14</f>
        <v>0</v>
      </c>
      <c r="J15" s="1">
        <f>+J12+J14</f>
        <v>0</v>
      </c>
      <c r="K15" s="1">
        <f>SUM(B15:J15)</f>
        <v>41969893.340000011</v>
      </c>
    </row>
    <row r="17" spans="1:11" x14ac:dyDescent="0.2">
      <c r="A17" t="s">
        <v>6</v>
      </c>
      <c r="B17" s="1">
        <f>B$9/($K$9-$J$9-$I$9-$H$9)*-$H$17</f>
        <v>5909310.7499213172</v>
      </c>
      <c r="C17" s="1">
        <f>C$9/($K$9-$J$9-$I$9-$H$9)*-$H$17</f>
        <v>108248.08137940361</v>
      </c>
      <c r="D17" s="1">
        <f>D$9/($K$9-$J$9-$I$9-$H$9)*-$H$17</f>
        <v>416228.73102878616</v>
      </c>
      <c r="E17" s="1">
        <f>E$9/($K$9-$J$9-$I$9-$H$9)*-$H$17</f>
        <v>0</v>
      </c>
      <c r="G17" s="1">
        <f>G$9/($K$9-$J$9-$I$9-$H$9)*-$H$17</f>
        <v>1416034.3559878974</v>
      </c>
      <c r="H17" s="1">
        <f>-H15</f>
        <v>-7849821.9183174046</v>
      </c>
      <c r="K17" s="1">
        <v>0</v>
      </c>
    </row>
    <row r="18" spans="1:11" x14ac:dyDescent="0.2">
      <c r="A18" t="s">
        <v>4</v>
      </c>
      <c r="B18" s="1">
        <f>+B15+B17</f>
        <v>31594747.558333695</v>
      </c>
      <c r="C18" s="1">
        <f>+C15+C17</f>
        <v>578759.68105108663</v>
      </c>
      <c r="D18" s="1">
        <f>+D15+D17</f>
        <v>2225410.4141595829</v>
      </c>
      <c r="E18" s="1">
        <f>+E15+E17</f>
        <v>0</v>
      </c>
      <c r="G18" s="1">
        <f>+G15+G17</f>
        <v>7570975.6864556409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41969893.340000004</v>
      </c>
    </row>
    <row r="20" spans="1:11" x14ac:dyDescent="0.2">
      <c r="A20" t="s">
        <v>7</v>
      </c>
      <c r="B20" s="1">
        <f>B$9/($K$9-$J$9-$I$9-$H$9-$G$9)*-$G$20</f>
        <v>6953796.2790873256</v>
      </c>
      <c r="C20" s="1">
        <f>C$9/($K$9-$J$9-$I$9-$H$9-$G$9)*-$G$20</f>
        <v>127381.20186427183</v>
      </c>
      <c r="D20" s="1">
        <f>D$9/($K$9-$J$9-$I$9-$H$9-$G$9)*-$G$20</f>
        <v>489798.20550404314</v>
      </c>
      <c r="E20" s="1">
        <f>E$9/($K$9-$J$9-$I$9-$H$9-$G$9)*-$G$20</f>
        <v>0</v>
      </c>
      <c r="G20" s="1">
        <f>-G18</f>
        <v>-7570975.6864556409</v>
      </c>
      <c r="K20" s="1">
        <f>SUM(B20:J20)</f>
        <v>0</v>
      </c>
    </row>
    <row r="22" spans="1:11" x14ac:dyDescent="0.2">
      <c r="A22" t="s">
        <v>8</v>
      </c>
      <c r="B22" s="1">
        <f>+B20+B18</f>
        <v>38548543.837421022</v>
      </c>
      <c r="C22" s="1">
        <f t="shared" ref="C22:K22" si="3">+C20+C18</f>
        <v>706140.88291535852</v>
      </c>
      <c r="D22" s="1">
        <f t="shared" si="3"/>
        <v>2715208.619663626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41969893.340000004</v>
      </c>
    </row>
    <row r="27" spans="1:11" x14ac:dyDescent="0.2">
      <c r="A27" t="s">
        <v>9</v>
      </c>
      <c r="B27" s="1">
        <f>+B9</f>
        <v>19361698.98</v>
      </c>
    </row>
    <row r="28" spans="1:11" x14ac:dyDescent="0.2">
      <c r="A28" t="s">
        <v>10</v>
      </c>
      <c r="B28" s="1">
        <f>+B22-B27</f>
        <v>19186844.857421022</v>
      </c>
    </row>
    <row r="29" spans="1:11" x14ac:dyDescent="0.2">
      <c r="A29" s="29" t="s">
        <v>170</v>
      </c>
      <c r="B29" s="1">
        <v>3714</v>
      </c>
    </row>
    <row r="30" spans="1:11" x14ac:dyDescent="0.2">
      <c r="A30" t="s">
        <v>11</v>
      </c>
      <c r="B30" s="1">
        <f>+B28/B29</f>
        <v>5166.0863913357625</v>
      </c>
    </row>
  </sheetData>
  <phoneticPr fontId="11" type="noConversion"/>
  <pageMargins left="0.64" right="0.51" top="1" bottom="1" header="0.5" footer="0.5"/>
  <pageSetup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6"/>
  <sheetViews>
    <sheetView topLeftCell="A5"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34358507.399999999</v>
      </c>
      <c r="C9" s="1">
        <f>'Master Expend Table'!C25</f>
        <v>12024.63</v>
      </c>
      <c r="D9" s="1">
        <f>'Master Expend Table'!D25</f>
        <v>745627.23</v>
      </c>
      <c r="E9" s="1">
        <f>'Master Expend Table'!E25</f>
        <v>3372106.45</v>
      </c>
      <c r="G9" s="1">
        <f>'Master Expend Table'!G25</f>
        <v>12631375.140000001</v>
      </c>
      <c r="H9" s="1">
        <f>'Master Expend Table'!H25</f>
        <v>8619490.5700000003</v>
      </c>
      <c r="I9" s="1">
        <f>'Master Expend Table'!I25</f>
        <v>7509015.3200000003</v>
      </c>
      <c r="J9" s="1">
        <f>'Master Expend Table'!J25</f>
        <v>8200016</v>
      </c>
      <c r="K9" s="1">
        <f>SUM(B9:J9)</f>
        <v>75448162.74000001</v>
      </c>
    </row>
    <row r="11" spans="1:11" x14ac:dyDescent="0.2">
      <c r="A11" t="s">
        <v>3</v>
      </c>
      <c r="B11" s="1">
        <f>(B9/($K9-$J9))*-$J$11</f>
        <v>4189562.4500315911</v>
      </c>
      <c r="C11" s="1">
        <f t="shared" ref="C11:I11" si="0">(C9/($K9-$J9))*-$J$11</f>
        <v>1466.2435051972998</v>
      </c>
      <c r="D11" s="1">
        <f t="shared" si="0"/>
        <v>90919.311719841135</v>
      </c>
      <c r="E11" s="1">
        <f t="shared" si="0"/>
        <v>411183.47767427558</v>
      </c>
      <c r="G11" s="1">
        <f t="shared" si="0"/>
        <v>1540227.9954340083</v>
      </c>
      <c r="H11" s="1">
        <f t="shared" si="0"/>
        <v>1051032.0954883331</v>
      </c>
      <c r="I11" s="1">
        <f t="shared" si="0"/>
        <v>915624.42614675255</v>
      </c>
      <c r="J11" s="1">
        <f>-J9</f>
        <v>-8200016</v>
      </c>
      <c r="K11" s="1">
        <v>0</v>
      </c>
    </row>
    <row r="12" spans="1:11" x14ac:dyDescent="0.2">
      <c r="A12" t="s">
        <v>4</v>
      </c>
      <c r="B12" s="1">
        <f>+B9+B11</f>
        <v>38548069.850031592</v>
      </c>
      <c r="C12" s="1">
        <f t="shared" ref="C12:J12" si="1">+C9+C11</f>
        <v>13490.873505197298</v>
      </c>
      <c r="D12" s="1">
        <f t="shared" si="1"/>
        <v>836546.54171984107</v>
      </c>
      <c r="E12" s="1">
        <f t="shared" si="1"/>
        <v>3783289.9276742758</v>
      </c>
      <c r="G12" s="1">
        <f t="shared" si="1"/>
        <v>14171603.135434009</v>
      </c>
      <c r="H12" s="1">
        <f t="shared" si="1"/>
        <v>9670522.6654883325</v>
      </c>
      <c r="I12" s="1">
        <f t="shared" si="1"/>
        <v>8424639.7461467534</v>
      </c>
      <c r="J12" s="1">
        <f t="shared" si="1"/>
        <v>0</v>
      </c>
      <c r="K12" s="1">
        <f>SUM(B12:J12)</f>
        <v>75448162.74000001</v>
      </c>
    </row>
    <row r="14" spans="1:11" x14ac:dyDescent="0.2">
      <c r="A14" t="s">
        <v>5</v>
      </c>
      <c r="B14" s="1">
        <f>B$9/($K$9-$J$9-$I$9)*-I14</f>
        <v>4845367.5200809818</v>
      </c>
      <c r="C14" s="1">
        <f t="shared" ref="C14:H14" si="2">C$9/($K$9-$J$9-$I$9)*-$I$14</f>
        <v>1695.7591016596775</v>
      </c>
      <c r="D14" s="1">
        <f t="shared" si="2"/>
        <v>105151.19065765798</v>
      </c>
      <c r="E14" s="1">
        <f t="shared" si="2"/>
        <v>475547.28955093049</v>
      </c>
      <c r="G14" s="1">
        <f t="shared" si="2"/>
        <v>1781324.611246482</v>
      </c>
      <c r="H14" s="1">
        <f t="shared" si="2"/>
        <v>1215553.3755090395</v>
      </c>
      <c r="I14" s="1">
        <f>-I12</f>
        <v>-8424639.7461467534</v>
      </c>
      <c r="K14" s="1">
        <v>0</v>
      </c>
    </row>
    <row r="15" spans="1:11" x14ac:dyDescent="0.2">
      <c r="A15" t="s">
        <v>4</v>
      </c>
      <c r="B15" s="1">
        <f>+B12+B14</f>
        <v>43393437.370112576</v>
      </c>
      <c r="C15" s="1">
        <f>+C12+C14</f>
        <v>15186.632606856976</v>
      </c>
      <c r="D15" s="1">
        <f>+D12+D14</f>
        <v>941697.73237749911</v>
      </c>
      <c r="E15" s="1">
        <f>+E12+E14</f>
        <v>4258837.2172252061</v>
      </c>
      <c r="G15" s="1">
        <f>+G12+G14</f>
        <v>15952927.746680491</v>
      </c>
      <c r="H15" s="1">
        <f>+H12+H14</f>
        <v>10886076.040997371</v>
      </c>
      <c r="I15" s="1">
        <f>+I12+I14</f>
        <v>0</v>
      </c>
      <c r="J15" s="1">
        <f>+J12+J14</f>
        <v>0</v>
      </c>
      <c r="K15" s="1">
        <f>SUM(B15:J15)</f>
        <v>75448162.74000001</v>
      </c>
    </row>
    <row r="17" spans="1:11" x14ac:dyDescent="0.2">
      <c r="A17" t="s">
        <v>6</v>
      </c>
      <c r="B17" s="1">
        <f>B$9/($K$9-$J$9-$I$9-$H$9)*-$H$17</f>
        <v>7316743.9753554286</v>
      </c>
      <c r="C17" s="1">
        <f>C$9/($K$9-$J$9-$I$9-$H$9)*-$H$17</f>
        <v>2560.6798946213289</v>
      </c>
      <c r="D17" s="1">
        <f>D$9/($K$9-$J$9-$I$9-$H$9)*-$H$17</f>
        <v>158783.48495905433</v>
      </c>
      <c r="E17" s="1">
        <f>E$9/($K$9-$J$9-$I$9-$H$9)*-$H$17</f>
        <v>718099.86577864795</v>
      </c>
      <c r="G17" s="1">
        <f>G$9/($K$9-$J$9-$I$9-$H$9)*-$H$17</f>
        <v>2689888.0350096161</v>
      </c>
      <c r="H17" s="1">
        <f>-H15</f>
        <v>-10886076.040997371</v>
      </c>
      <c r="K17" s="1">
        <v>0</v>
      </c>
    </row>
    <row r="18" spans="1:11" x14ac:dyDescent="0.2">
      <c r="A18" t="s">
        <v>4</v>
      </c>
      <c r="B18" s="1">
        <f>+B15+B17</f>
        <v>50710181.345468007</v>
      </c>
      <c r="C18" s="1">
        <f>+C15+C17</f>
        <v>17747.312501478304</v>
      </c>
      <c r="D18" s="1">
        <f>+D15+D17</f>
        <v>1100481.2173365534</v>
      </c>
      <c r="E18" s="1">
        <f>+E15+E17</f>
        <v>4976937.0830038544</v>
      </c>
      <c r="G18" s="1">
        <f>+G15+G17</f>
        <v>18642815.781690106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75448162.739999995</v>
      </c>
    </row>
    <row r="20" spans="1:11" x14ac:dyDescent="0.2">
      <c r="A20" t="s">
        <v>7</v>
      </c>
      <c r="B20" s="1">
        <f>B$9/($K$9-$J$9-$I$9-$H$9-$G$9)*-$G$20</f>
        <v>16642457.439323165</v>
      </c>
      <c r="C20" s="1">
        <f>C$9/($K$9-$J$9-$I$9-$H$9-$G$9)*-$G$20</f>
        <v>5824.4495509897642</v>
      </c>
      <c r="D20" s="1">
        <f>D$9/($K$9-$J$9-$I$9-$H$9-$G$9)*-$G$20</f>
        <v>361164.39216668141</v>
      </c>
      <c r="E20" s="1">
        <f>E$9/($K$9-$J$9-$I$9-$H$9-$G$9)*-$G$20</f>
        <v>1633369.5006492664</v>
      </c>
      <c r="G20" s="1">
        <f>-G18</f>
        <v>-18642815.781690106</v>
      </c>
      <c r="K20" s="1">
        <f>SUM(B20:J20)</f>
        <v>0</v>
      </c>
    </row>
    <row r="22" spans="1:11" x14ac:dyDescent="0.2">
      <c r="A22" t="s">
        <v>8</v>
      </c>
      <c r="B22" s="1">
        <f>+B20+B18</f>
        <v>67352638.784791172</v>
      </c>
      <c r="C22" s="1">
        <f t="shared" ref="C22:K22" si="3">+C20+C18</f>
        <v>23571.762052468068</v>
      </c>
      <c r="D22" s="1">
        <f t="shared" si="3"/>
        <v>1461645.6095032347</v>
      </c>
      <c r="E22" s="1">
        <f t="shared" si="3"/>
        <v>6610306.5836531203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75448162.739999995</v>
      </c>
    </row>
    <row r="27" spans="1:11" x14ac:dyDescent="0.2">
      <c r="A27" t="s">
        <v>9</v>
      </c>
      <c r="B27" s="1">
        <f>+B9</f>
        <v>34358507.399999999</v>
      </c>
    </row>
    <row r="28" spans="1:11" x14ac:dyDescent="0.2">
      <c r="A28" t="s">
        <v>10</v>
      </c>
      <c r="B28" s="1">
        <f>+B22-B27</f>
        <v>32994131.384791173</v>
      </c>
    </row>
    <row r="29" spans="1:11" x14ac:dyDescent="0.2">
      <c r="A29" s="29" t="s">
        <v>170</v>
      </c>
      <c r="B29" s="1">
        <v>5166</v>
      </c>
    </row>
    <row r="30" spans="1:11" x14ac:dyDescent="0.2">
      <c r="A30" t="s">
        <v>11</v>
      </c>
      <c r="B30" s="1">
        <f>+B28/B29</f>
        <v>6386.7850144775794</v>
      </c>
    </row>
    <row r="46" spans="13:13" x14ac:dyDescent="0.2">
      <c r="M46" s="29"/>
    </row>
  </sheetData>
  <phoneticPr fontId="0" type="noConversion"/>
  <pageMargins left="0.49" right="0.55000000000000004" top="1" bottom="0.48" header="0.5" footer="0.5"/>
  <pageSetup scale="10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87318665.069999993</v>
      </c>
      <c r="C9" s="1">
        <f>'Master Expend Table'!C26</f>
        <v>1072058.08</v>
      </c>
      <c r="D9" s="1">
        <f>'Master Expend Table'!D26</f>
        <v>2237616.58</v>
      </c>
      <c r="E9" s="1">
        <f>'Master Expend Table'!E26</f>
        <v>8345824.4699999997</v>
      </c>
      <c r="G9" s="1">
        <f>'Master Expend Table'!G26</f>
        <v>30230665.890000001</v>
      </c>
      <c r="H9" s="1">
        <f>'Master Expend Table'!H26</f>
        <v>20092964.73</v>
      </c>
      <c r="I9" s="1">
        <f>'Master Expend Table'!I26</f>
        <v>22312032.890000001</v>
      </c>
      <c r="J9" s="1">
        <f>'Master Expend Table'!J26</f>
        <v>17474160.57</v>
      </c>
      <c r="K9" s="1">
        <f>SUM(B9:J9)</f>
        <v>189083988.27999997</v>
      </c>
    </row>
    <row r="11" spans="1:11" x14ac:dyDescent="0.2">
      <c r="A11" t="s">
        <v>3</v>
      </c>
      <c r="B11" s="1">
        <f>(B9/($K9-$J9))*-$J$11</f>
        <v>8891217.9130538106</v>
      </c>
      <c r="C11" s="1">
        <f t="shared" ref="C11:I11" si="0">(C9/($K9-$J9))*-$J$11</f>
        <v>109162.25067216408</v>
      </c>
      <c r="D11" s="1">
        <f t="shared" si="0"/>
        <v>227845.17608798816</v>
      </c>
      <c r="E11" s="1">
        <f t="shared" si="0"/>
        <v>849813.08369041048</v>
      </c>
      <c r="G11" s="1">
        <f t="shared" si="0"/>
        <v>3078235.7685981155</v>
      </c>
      <c r="H11" s="1">
        <f t="shared" si="0"/>
        <v>2045964.9467902069</v>
      </c>
      <c r="I11" s="1">
        <f t="shared" si="0"/>
        <v>2271921.431107305</v>
      </c>
      <c r="J11" s="1">
        <f>-J9</f>
        <v>-17474160.57</v>
      </c>
      <c r="K11" s="1">
        <v>0</v>
      </c>
    </row>
    <row r="12" spans="1:11" x14ac:dyDescent="0.2">
      <c r="A12" t="s">
        <v>4</v>
      </c>
      <c r="B12" s="1">
        <f>+B9+B11</f>
        <v>96209882.983053803</v>
      </c>
      <c r="C12" s="1">
        <f t="shared" ref="C12:J12" si="1">+C9+C11</f>
        <v>1181220.3306721642</v>
      </c>
      <c r="D12" s="1">
        <f t="shared" si="1"/>
        <v>2465461.7560879881</v>
      </c>
      <c r="E12" s="1">
        <f t="shared" si="1"/>
        <v>9195637.5536904112</v>
      </c>
      <c r="G12" s="1">
        <f t="shared" si="1"/>
        <v>33308901.658598118</v>
      </c>
      <c r="H12" s="1">
        <f t="shared" si="1"/>
        <v>22138929.676790208</v>
      </c>
      <c r="I12" s="1">
        <f t="shared" si="1"/>
        <v>24583954.321107306</v>
      </c>
      <c r="J12" s="1">
        <f t="shared" si="1"/>
        <v>0</v>
      </c>
      <c r="K12" s="1">
        <f>SUM(B12:J12)</f>
        <v>189083988.28</v>
      </c>
    </row>
    <row r="14" spans="1:11" x14ac:dyDescent="0.2">
      <c r="A14" t="s">
        <v>5</v>
      </c>
      <c r="B14" s="1">
        <f>B$9/($K$9-$J$9-$I$9)*-I14</f>
        <v>14378230.274928236</v>
      </c>
      <c r="C14" s="1">
        <f t="shared" ref="C14:H14" si="2">C$9/($K$9-$J$9-$I$9)*-$I$14</f>
        <v>176529.24411957504</v>
      </c>
      <c r="D14" s="1">
        <f t="shared" si="2"/>
        <v>368454.63027229701</v>
      </c>
      <c r="E14" s="1">
        <f t="shared" si="2"/>
        <v>1374255.8474478852</v>
      </c>
      <c r="G14" s="1">
        <f t="shared" si="2"/>
        <v>4977898.7709258441</v>
      </c>
      <c r="H14" s="1">
        <f t="shared" si="2"/>
        <v>3308585.5534134689</v>
      </c>
      <c r="I14" s="1">
        <f>-I12</f>
        <v>-24583954.321107306</v>
      </c>
      <c r="K14" s="1">
        <v>0</v>
      </c>
    </row>
    <row r="15" spans="1:11" x14ac:dyDescent="0.2">
      <c r="A15" t="s">
        <v>4</v>
      </c>
      <c r="B15" s="1">
        <f>+B12+B14</f>
        <v>110588113.25798205</v>
      </c>
      <c r="C15" s="1">
        <f>+C12+C14</f>
        <v>1357749.5747917392</v>
      </c>
      <c r="D15" s="1">
        <f>+D12+D14</f>
        <v>2833916.3863602853</v>
      </c>
      <c r="E15" s="1">
        <f>+E12+E14</f>
        <v>10569893.401138296</v>
      </c>
      <c r="G15" s="1">
        <f>+G12+G14</f>
        <v>38286800.42952396</v>
      </c>
      <c r="H15" s="1">
        <f>+H12+H14</f>
        <v>25447515.230203677</v>
      </c>
      <c r="I15" s="1">
        <f>+I12+I14</f>
        <v>0</v>
      </c>
      <c r="J15" s="1">
        <f>+J12+J14</f>
        <v>0</v>
      </c>
      <c r="K15" s="1">
        <f>SUM(B15:J15)</f>
        <v>189083988.28000003</v>
      </c>
    </row>
    <row r="17" spans="1:11" x14ac:dyDescent="0.2">
      <c r="A17" t="s">
        <v>6</v>
      </c>
      <c r="B17" s="1">
        <f>B$9/($K$9-$J$9-$I$9-$H$9)*-$H$17</f>
        <v>17197832.756732654</v>
      </c>
      <c r="C17" s="1">
        <f>C$9/($K$9-$J$9-$I$9-$H$9)*-$H$17</f>
        <v>211147.01593941718</v>
      </c>
      <c r="D17" s="1">
        <f>D$9/($K$9-$J$9-$I$9-$H$9)*-$H$17</f>
        <v>440709.39112138789</v>
      </c>
      <c r="E17" s="1">
        <f>E$9/($K$9-$J$9-$I$9-$H$9)*-$H$17</f>
        <v>1643750.4322477265</v>
      </c>
      <c r="G17" s="1">
        <f>G$9/($K$9-$J$9-$I$9-$H$9)*-$H$17</f>
        <v>5954075.6341624931</v>
      </c>
      <c r="H17" s="1">
        <f>-H15</f>
        <v>-25447515.230203677</v>
      </c>
      <c r="K17" s="1">
        <v>0</v>
      </c>
    </row>
    <row r="18" spans="1:11" x14ac:dyDescent="0.2">
      <c r="A18" t="s">
        <v>4</v>
      </c>
      <c r="B18" s="1">
        <f>+B15+B17</f>
        <v>127785946.0147147</v>
      </c>
      <c r="C18" s="1">
        <f>+C15+C17</f>
        <v>1568896.5907311565</v>
      </c>
      <c r="D18" s="1">
        <f>+D15+D17</f>
        <v>3274625.7774816733</v>
      </c>
      <c r="E18" s="1">
        <f>+E15+E17</f>
        <v>12213643.833386023</v>
      </c>
      <c r="G18" s="1">
        <f>+G15+G17</f>
        <v>44240876.063686453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189083988.28000003</v>
      </c>
    </row>
    <row r="20" spans="1:11" x14ac:dyDescent="0.2">
      <c r="A20" t="s">
        <v>7</v>
      </c>
      <c r="B20" s="1">
        <f>B$9/($K$9-$J$9-$I$9-$H$9-$G$9)*-$G$20</f>
        <v>39030935.705627486</v>
      </c>
      <c r="C20" s="1">
        <f>C$9/($K$9-$J$9-$I$9-$H$9-$G$9)*-$G$20</f>
        <v>479203.72991999122</v>
      </c>
      <c r="D20" s="1">
        <f>D$9/($K$9-$J$9-$I$9-$H$9-$G$9)*-$G$20</f>
        <v>1000201.6040649724</v>
      </c>
      <c r="E20" s="1">
        <f>E$9/($K$9-$J$9-$I$9-$H$9-$G$9)*-$G$20</f>
        <v>3730535.0240740068</v>
      </c>
      <c r="G20" s="1">
        <f>-G18</f>
        <v>-44240876.063686453</v>
      </c>
      <c r="K20" s="1">
        <f>SUM(B20:J20)</f>
        <v>0</v>
      </c>
    </row>
    <row r="22" spans="1:11" x14ac:dyDescent="0.2">
      <c r="A22" t="s">
        <v>8</v>
      </c>
      <c r="B22" s="1">
        <f>+B20+B18</f>
        <v>166816881.72034219</v>
      </c>
      <c r="C22" s="1">
        <f t="shared" ref="C22:K22" si="3">+C20+C18</f>
        <v>2048100.3206511477</v>
      </c>
      <c r="D22" s="1">
        <f t="shared" si="3"/>
        <v>4274827.3815466454</v>
      </c>
      <c r="E22" s="1">
        <f t="shared" si="3"/>
        <v>15944178.857460029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189083988.28000003</v>
      </c>
    </row>
    <row r="27" spans="1:11" x14ac:dyDescent="0.2">
      <c r="A27" t="s">
        <v>9</v>
      </c>
      <c r="B27" s="1">
        <f>+B9</f>
        <v>87318665.069999993</v>
      </c>
    </row>
    <row r="28" spans="1:11" x14ac:dyDescent="0.2">
      <c r="A28" t="s">
        <v>10</v>
      </c>
      <c r="B28" s="1">
        <f>+B22-B27</f>
        <v>79498216.650342196</v>
      </c>
    </row>
    <row r="29" spans="1:11" x14ac:dyDescent="0.2">
      <c r="A29" s="29" t="s">
        <v>170</v>
      </c>
      <c r="B29" s="1">
        <v>13202</v>
      </c>
    </row>
    <row r="30" spans="1:11" x14ac:dyDescent="0.2">
      <c r="A30" t="s">
        <v>11</v>
      </c>
      <c r="B30" s="1">
        <f>+B28/B29</f>
        <v>6021.6797947539917</v>
      </c>
    </row>
  </sheetData>
  <phoneticPr fontId="0" type="noConversion"/>
  <pageMargins left="0.52" right="0.55000000000000004" top="1" bottom="1" header="0.5" footer="0.5"/>
  <pageSetup scale="10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11134912.800000001</v>
      </c>
      <c r="C9" s="1">
        <f>'Master Expend Table'!C27</f>
        <v>3500</v>
      </c>
      <c r="D9" s="1">
        <f>'Master Expend Table'!D27</f>
        <v>1209222.4099999999</v>
      </c>
      <c r="E9" s="1">
        <f>'Master Expend Table'!E27</f>
        <v>290938.07</v>
      </c>
      <c r="G9" s="1">
        <f>'Master Expend Table'!G27</f>
        <v>2785868.77</v>
      </c>
      <c r="H9" s="1">
        <f>'Master Expend Table'!H27</f>
        <v>3678312.92</v>
      </c>
      <c r="I9" s="1">
        <f>'Master Expend Table'!I27</f>
        <v>3100047.52</v>
      </c>
      <c r="J9" s="1">
        <f>'Master Expend Table'!J27</f>
        <v>2654268.33</v>
      </c>
      <c r="K9" s="1">
        <f>SUM(B9:J9)</f>
        <v>24857070.82</v>
      </c>
    </row>
    <row r="11" spans="1:11" x14ac:dyDescent="0.2">
      <c r="A11" t="s">
        <v>3</v>
      </c>
      <c r="B11" s="1">
        <f>(B9/($K9-$J9))*-$J$11</f>
        <v>1331140.35562236</v>
      </c>
      <c r="C11" s="1">
        <f t="shared" ref="C11:I11" si="0">(C9/($K9-$J9))*-$J$11</f>
        <v>418.41290797340241</v>
      </c>
      <c r="D11" s="1">
        <f t="shared" si="0"/>
        <v>144558.36141563024</v>
      </c>
      <c r="E11" s="1">
        <f t="shared" si="0"/>
        <v>34780.641116819803</v>
      </c>
      <c r="G11" s="1">
        <f t="shared" si="0"/>
        <v>333040.98665371025</v>
      </c>
      <c r="H11" s="1">
        <f t="shared" si="0"/>
        <v>439729.60151238204</v>
      </c>
      <c r="I11" s="1">
        <f t="shared" si="0"/>
        <v>370599.97077112406</v>
      </c>
      <c r="J11" s="1">
        <f>-J9</f>
        <v>-2654268.33</v>
      </c>
      <c r="K11" s="1">
        <v>0</v>
      </c>
    </row>
    <row r="12" spans="1:11" x14ac:dyDescent="0.2">
      <c r="A12" t="s">
        <v>4</v>
      </c>
      <c r="B12" s="1">
        <f>+B9+B11</f>
        <v>12466053.155622361</v>
      </c>
      <c r="C12" s="1">
        <f t="shared" ref="C12:J12" si="1">+C9+C11</f>
        <v>3918.4129079734025</v>
      </c>
      <c r="D12" s="1">
        <f t="shared" si="1"/>
        <v>1353780.7714156301</v>
      </c>
      <c r="E12" s="1">
        <f t="shared" si="1"/>
        <v>325718.71111681982</v>
      </c>
      <c r="G12" s="1">
        <f t="shared" si="1"/>
        <v>3118909.7566537103</v>
      </c>
      <c r="H12" s="1">
        <f t="shared" si="1"/>
        <v>4118042.5215123817</v>
      </c>
      <c r="I12" s="1">
        <f t="shared" si="1"/>
        <v>3470647.4907711241</v>
      </c>
      <c r="J12" s="1">
        <f t="shared" si="1"/>
        <v>0</v>
      </c>
      <c r="K12" s="1">
        <f>SUM(B12:J12)</f>
        <v>24857070.82</v>
      </c>
    </row>
    <row r="14" spans="1:11" x14ac:dyDescent="0.2">
      <c r="A14" t="s">
        <v>5</v>
      </c>
      <c r="B14" s="1">
        <f>B$9/($K$9-$J$9-$I$9)*-I14</f>
        <v>2023025.3295907334</v>
      </c>
      <c r="C14" s="1">
        <f t="shared" ref="C14:H14" si="2">C$9/($K$9-$J$9-$I$9)*-$I$14</f>
        <v>635.89080406337496</v>
      </c>
      <c r="D14" s="1">
        <f t="shared" si="2"/>
        <v>219695.26016752914</v>
      </c>
      <c r="E14" s="1">
        <f t="shared" si="2"/>
        <v>52858.526647127568</v>
      </c>
      <c r="G14" s="1">
        <f t="shared" si="2"/>
        <v>506145.23776295589</v>
      </c>
      <c r="H14" s="1">
        <f t="shared" si="2"/>
        <v>668287.24579871446</v>
      </c>
      <c r="I14" s="1">
        <f>-I12</f>
        <v>-3470647.4907711241</v>
      </c>
      <c r="K14" s="1">
        <v>0</v>
      </c>
    </row>
    <row r="15" spans="1:11" x14ac:dyDescent="0.2">
      <c r="A15" t="s">
        <v>4</v>
      </c>
      <c r="B15" s="1">
        <f>+B12+B14</f>
        <v>14489078.485213095</v>
      </c>
      <c r="C15" s="1">
        <f>+C12+C14</f>
        <v>4554.3037120367771</v>
      </c>
      <c r="D15" s="1">
        <f>+D12+D14</f>
        <v>1573476.0315831592</v>
      </c>
      <c r="E15" s="1">
        <f>+E12+E14</f>
        <v>378577.2377639474</v>
      </c>
      <c r="G15" s="1">
        <f>+G12+G14</f>
        <v>3625054.9944166662</v>
      </c>
      <c r="H15" s="1">
        <f>+H12+H14</f>
        <v>4786329.7673110962</v>
      </c>
      <c r="I15" s="1">
        <f>+I12+I14</f>
        <v>0</v>
      </c>
      <c r="J15" s="1">
        <f>+J12+J14</f>
        <v>0</v>
      </c>
      <c r="K15" s="1">
        <f>SUM(B15:J15)</f>
        <v>24857070.82</v>
      </c>
    </row>
    <row r="17" spans="1:11" x14ac:dyDescent="0.2">
      <c r="A17" t="s">
        <v>6</v>
      </c>
      <c r="B17" s="1">
        <f>B$9/($K$9-$J$9-$I$9-$H$9)*-$H$17</f>
        <v>3455253.9675853844</v>
      </c>
      <c r="C17" s="1">
        <f>C$9/($K$9-$J$9-$I$9-$H$9)*-$H$17</f>
        <v>1086.0784546555988</v>
      </c>
      <c r="D17" s="1">
        <f>D$9/($K$9-$J$9-$I$9-$H$9)*-$H$17</f>
        <v>375231.54468220531</v>
      </c>
      <c r="E17" s="1">
        <f>E$9/($K$9-$J$9-$I$9-$H$9)*-$H$17</f>
        <v>90280.448418880682</v>
      </c>
      <c r="G17" s="1">
        <f>G$9/($K$9-$J$9-$I$9-$H$9)*-$H$17</f>
        <v>864477.72816996952</v>
      </c>
      <c r="H17" s="1">
        <f>-H15</f>
        <v>-4786329.7673110962</v>
      </c>
      <c r="K17" s="1">
        <v>0</v>
      </c>
    </row>
    <row r="18" spans="1:11" x14ac:dyDescent="0.2">
      <c r="A18" t="s">
        <v>4</v>
      </c>
      <c r="B18" s="1">
        <f>+B15+B17</f>
        <v>17944332.452798478</v>
      </c>
      <c r="C18" s="1">
        <f>+C15+C17</f>
        <v>5640.3821666923759</v>
      </c>
      <c r="D18" s="1">
        <f>+D15+D17</f>
        <v>1948707.5762653644</v>
      </c>
      <c r="E18" s="1">
        <f>+E15+E17</f>
        <v>468857.6861828281</v>
      </c>
      <c r="G18" s="1">
        <f>+G15+G17</f>
        <v>4489532.7225866355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24857070.819999997</v>
      </c>
    </row>
    <row r="20" spans="1:11" x14ac:dyDescent="0.2">
      <c r="A20" t="s">
        <v>7</v>
      </c>
      <c r="B20" s="1">
        <f>B$9/($K$9-$J$9-$I$9-$H$9-$G$9)*-$G$20</f>
        <v>3955395.4604873541</v>
      </c>
      <c r="C20" s="1">
        <f>C$9/($K$9-$J$9-$I$9-$H$9-$G$9)*-$G$20</f>
        <v>1243.2862619010125</v>
      </c>
      <c r="D20" s="1">
        <f>D$9/($K$9-$J$9-$I$9-$H$9-$G$9)*-$G$20</f>
        <v>429545.6028388096</v>
      </c>
      <c r="E20" s="1">
        <f>E$9/($K$9-$J$9-$I$9-$H$9-$G$9)*-$G$20</f>
        <v>103348.37299857005</v>
      </c>
      <c r="G20" s="1">
        <f>-G18</f>
        <v>-4489532.7225866355</v>
      </c>
      <c r="K20" s="1">
        <f>SUM(B20:J20)</f>
        <v>0</v>
      </c>
    </row>
    <row r="22" spans="1:11" x14ac:dyDescent="0.2">
      <c r="A22" t="s">
        <v>8</v>
      </c>
      <c r="B22" s="1">
        <f>+B20+B18</f>
        <v>21899727.913285833</v>
      </c>
      <c r="C22" s="1">
        <f t="shared" ref="C22:K22" si="3">+C20+C18</f>
        <v>6883.6684285933879</v>
      </c>
      <c r="D22" s="1">
        <f t="shared" si="3"/>
        <v>2378253.179104174</v>
      </c>
      <c r="E22" s="1">
        <f t="shared" si="3"/>
        <v>572206.05918139813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24857070.819999997</v>
      </c>
    </row>
    <row r="27" spans="1:11" x14ac:dyDescent="0.2">
      <c r="A27" t="s">
        <v>9</v>
      </c>
      <c r="B27" s="1">
        <f>+B9</f>
        <v>11134912.800000001</v>
      </c>
    </row>
    <row r="28" spans="1:11" x14ac:dyDescent="0.2">
      <c r="A28" t="s">
        <v>10</v>
      </c>
      <c r="B28" s="1">
        <f>+B22-B27</f>
        <v>10764815.113285832</v>
      </c>
    </row>
    <row r="29" spans="1:11" x14ac:dyDescent="0.2">
      <c r="A29" s="29" t="s">
        <v>170</v>
      </c>
      <c r="B29" s="1">
        <v>1975</v>
      </c>
    </row>
    <row r="30" spans="1:11" x14ac:dyDescent="0.2">
      <c r="A30" t="s">
        <v>11</v>
      </c>
      <c r="B30" s="1">
        <f>+B28/B29</f>
        <v>5450.5392978662439</v>
      </c>
    </row>
  </sheetData>
  <phoneticPr fontId="0" type="noConversion"/>
  <pageMargins left="0.44" right="0.55000000000000004" top="1" bottom="0.53" header="0.5" footer="0.5"/>
  <pageSetup scale="10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29499896.829999998</v>
      </c>
      <c r="C9" s="1">
        <f>'Master Expend Table'!C29</f>
        <v>85650.17</v>
      </c>
      <c r="D9" s="1">
        <f>'Master Expend Table'!D29</f>
        <v>841255.58</v>
      </c>
      <c r="E9" s="1">
        <f>'Master Expend Table'!E29</f>
        <v>0</v>
      </c>
      <c r="G9" s="1">
        <f>'Master Expend Table'!G29</f>
        <v>10541845.02</v>
      </c>
      <c r="H9" s="1">
        <f>'Master Expend Table'!H29</f>
        <v>5580444.3099999996</v>
      </c>
      <c r="I9" s="1">
        <f>'Master Expend Table'!I29</f>
        <v>8503723.4600000009</v>
      </c>
      <c r="J9" s="1">
        <f>'Master Expend Table'!J29</f>
        <v>6032983.1399999997</v>
      </c>
      <c r="K9" s="1">
        <f>SUM(B9:J9)</f>
        <v>61085798.509999998</v>
      </c>
    </row>
    <row r="11" spans="1:11" x14ac:dyDescent="0.2">
      <c r="A11" t="s">
        <v>3</v>
      </c>
      <c r="B11" s="1">
        <f>(B9/($K9-$J9))*-$J$11</f>
        <v>3232757.1080790204</v>
      </c>
      <c r="C11" s="1">
        <f t="shared" ref="C11:I11" si="0">(C9/($K9-$J9))*-$J$11</f>
        <v>9386.0055671142654</v>
      </c>
      <c r="D11" s="1">
        <f t="shared" si="0"/>
        <v>92189.30397039422</v>
      </c>
      <c r="E11" s="1">
        <f t="shared" si="0"/>
        <v>0</v>
      </c>
      <c r="G11" s="1">
        <f t="shared" si="0"/>
        <v>1155231.9866425926</v>
      </c>
      <c r="H11" s="1">
        <f t="shared" si="0"/>
        <v>611535.05428688717</v>
      </c>
      <c r="I11" s="1">
        <f t="shared" si="0"/>
        <v>931883.6814539911</v>
      </c>
      <c r="J11" s="1">
        <f>-J9</f>
        <v>-6032983.1399999997</v>
      </c>
      <c r="K11" s="1">
        <v>0</v>
      </c>
    </row>
    <row r="12" spans="1:11" x14ac:dyDescent="0.2">
      <c r="A12" t="s">
        <v>4</v>
      </c>
      <c r="B12" s="1">
        <f>+B9+B11</f>
        <v>32732653.938079018</v>
      </c>
      <c r="C12" s="1">
        <f t="shared" ref="C12:J12" si="1">+C9+C11</f>
        <v>95036.17556711426</v>
      </c>
      <c r="D12" s="1">
        <f t="shared" si="1"/>
        <v>933444.88397039415</v>
      </c>
      <c r="E12" s="1">
        <f t="shared" si="1"/>
        <v>0</v>
      </c>
      <c r="G12" s="1">
        <f t="shared" si="1"/>
        <v>11697077.006642591</v>
      </c>
      <c r="H12" s="1">
        <f t="shared" si="1"/>
        <v>6191979.3642868865</v>
      </c>
      <c r="I12" s="1">
        <f t="shared" si="1"/>
        <v>9435607.1414539926</v>
      </c>
      <c r="J12" s="1">
        <f t="shared" si="1"/>
        <v>0</v>
      </c>
      <c r="K12" s="1">
        <f>SUM(B12:J12)</f>
        <v>61085798.50999999</v>
      </c>
    </row>
    <row r="14" spans="1:11" x14ac:dyDescent="0.2">
      <c r="A14" t="s">
        <v>5</v>
      </c>
      <c r="B14" s="1">
        <f>B$9/($K$9-$J$9-$I$9)*-I14</f>
        <v>5979696.3975038799</v>
      </c>
      <c r="C14" s="1">
        <f t="shared" ref="C14:H14" si="2">C$9/($K$9-$J$9-$I$9)*-$I$14</f>
        <v>17361.484887423416</v>
      </c>
      <c r="D14" s="1">
        <f t="shared" si="2"/>
        <v>170524.4255630855</v>
      </c>
      <c r="E14" s="1">
        <f t="shared" si="2"/>
        <v>0</v>
      </c>
      <c r="G14" s="1">
        <f t="shared" si="2"/>
        <v>2136856.0389347714</v>
      </c>
      <c r="H14" s="1">
        <f t="shared" si="2"/>
        <v>1131168.7945648325</v>
      </c>
      <c r="I14" s="1">
        <f>-I12</f>
        <v>-9435607.1414539926</v>
      </c>
      <c r="K14" s="1">
        <v>0</v>
      </c>
    </row>
    <row r="15" spans="1:11" x14ac:dyDescent="0.2">
      <c r="A15" t="s">
        <v>4</v>
      </c>
      <c r="B15" s="1">
        <f>+B12+B14</f>
        <v>38712350.335582897</v>
      </c>
      <c r="C15" s="1">
        <f>+C12+C14</f>
        <v>112397.66045453768</v>
      </c>
      <c r="D15" s="1">
        <f>+D12+D14</f>
        <v>1103969.3095334796</v>
      </c>
      <c r="E15" s="1">
        <f>+E12+E14</f>
        <v>0</v>
      </c>
      <c r="G15" s="1">
        <f>+G12+G14</f>
        <v>13833933.045577362</v>
      </c>
      <c r="H15" s="1">
        <f>+H12+H14</f>
        <v>7323148.1588517185</v>
      </c>
      <c r="I15" s="1">
        <f>+I12+I14</f>
        <v>0</v>
      </c>
      <c r="J15" s="1">
        <f>+J12+J14</f>
        <v>0</v>
      </c>
      <c r="K15" s="1">
        <f>SUM(B15:J15)</f>
        <v>61085798.50999999</v>
      </c>
    </row>
    <row r="17" spans="1:11" x14ac:dyDescent="0.2">
      <c r="A17" t="s">
        <v>6</v>
      </c>
      <c r="B17" s="1">
        <f>B$9/($K$9-$J$9-$I$9-$H$9)*-$H$17</f>
        <v>5273108.2867604876</v>
      </c>
      <c r="C17" s="1">
        <f>C$9/($K$9-$J$9-$I$9-$H$9)*-$H$17</f>
        <v>15309.972905740653</v>
      </c>
      <c r="D17" s="1">
        <f>D$9/($K$9-$J$9-$I$9-$H$9)*-$H$17</f>
        <v>150374.48421413684</v>
      </c>
      <c r="E17" s="1">
        <f>E$9/($K$9-$J$9-$I$9-$H$9)*-$H$17</f>
        <v>0</v>
      </c>
      <c r="G17" s="1">
        <f>G$9/($K$9-$J$9-$I$9-$H$9)*-$H$17</f>
        <v>1884355.414971354</v>
      </c>
      <c r="H17" s="1">
        <f>-H15</f>
        <v>-7323148.1588517185</v>
      </c>
      <c r="K17" s="1">
        <v>0</v>
      </c>
    </row>
    <row r="18" spans="1:11" x14ac:dyDescent="0.2">
      <c r="A18" t="s">
        <v>4</v>
      </c>
      <c r="B18" s="1">
        <f>+B15+B17</f>
        <v>43985458.622343384</v>
      </c>
      <c r="C18" s="1">
        <f>+C15+C17</f>
        <v>127707.63336027833</v>
      </c>
      <c r="D18" s="1">
        <f>+D15+D17</f>
        <v>1254343.7937476165</v>
      </c>
      <c r="E18" s="1">
        <f>+E15+E17</f>
        <v>0</v>
      </c>
      <c r="G18" s="1">
        <f>+G15+G17</f>
        <v>15718288.460548716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61085798.509999998</v>
      </c>
    </row>
    <row r="20" spans="1:11" x14ac:dyDescent="0.2">
      <c r="A20" t="s">
        <v>7</v>
      </c>
      <c r="B20" s="1">
        <f>B$9/($K$9-$J$9-$I$9-$H$9-$G$9)*-$G$20</f>
        <v>15239454.9743178</v>
      </c>
      <c r="C20" s="1">
        <f>C$9/($K$9-$J$9-$I$9-$H$9-$G$9)*-$G$20</f>
        <v>44246.321157648104</v>
      </c>
      <c r="D20" s="1">
        <f>D$9/($K$9-$J$9-$I$9-$H$9-$G$9)*-$G$20</f>
        <v>434587.16507326876</v>
      </c>
      <c r="E20" s="1">
        <f>E$9/($K$9-$J$9-$I$9-$H$9-$G$9)*-$G$20</f>
        <v>0</v>
      </c>
      <c r="G20" s="1">
        <f>-G18</f>
        <v>-15718288.460548716</v>
      </c>
      <c r="K20" s="1">
        <f>SUM(B20:J20)</f>
        <v>0</v>
      </c>
    </row>
    <row r="22" spans="1:11" x14ac:dyDescent="0.2">
      <c r="A22" t="s">
        <v>8</v>
      </c>
      <c r="B22" s="1">
        <f>+B20+B18</f>
        <v>59224913.59666118</v>
      </c>
      <c r="C22" s="1">
        <f t="shared" ref="C22:K22" si="3">+C20+C18</f>
        <v>171953.95451792644</v>
      </c>
      <c r="D22" s="1">
        <f t="shared" si="3"/>
        <v>1688930.9588208853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61085798.509999998</v>
      </c>
    </row>
    <row r="27" spans="1:11" x14ac:dyDescent="0.2">
      <c r="A27" t="s">
        <v>9</v>
      </c>
      <c r="B27" s="1">
        <f>+B9</f>
        <v>29499896.829999998</v>
      </c>
    </row>
    <row r="28" spans="1:11" x14ac:dyDescent="0.2">
      <c r="A28" t="s">
        <v>10</v>
      </c>
      <c r="B28" s="1">
        <f>+B22-B27</f>
        <v>29725016.766661182</v>
      </c>
    </row>
    <row r="29" spans="1:11" x14ac:dyDescent="0.2">
      <c r="A29" s="29" t="s">
        <v>170</v>
      </c>
      <c r="B29" s="1">
        <v>6776</v>
      </c>
    </row>
    <row r="30" spans="1:11" x14ac:dyDescent="0.2">
      <c r="A30" t="s">
        <v>11</v>
      </c>
      <c r="B30" s="1">
        <f>+B28/B29</f>
        <v>4386.8088498614497</v>
      </c>
    </row>
  </sheetData>
  <phoneticPr fontId="0" type="noConversion"/>
  <pageMargins left="0.54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18420336.219999999</v>
      </c>
      <c r="C9" s="1">
        <f>'Master Expend Table'!C30</f>
        <v>2302.27</v>
      </c>
      <c r="D9" s="1">
        <f>'Master Expend Table'!D30</f>
        <v>49.45</v>
      </c>
      <c r="E9" s="1">
        <f>'Master Expend Table'!E30</f>
        <v>0</v>
      </c>
      <c r="G9" s="1">
        <f>'Master Expend Table'!G30</f>
        <v>7351410.7599999998</v>
      </c>
      <c r="H9" s="1">
        <f>'Master Expend Table'!H30</f>
        <v>4441856.54</v>
      </c>
      <c r="I9" s="1">
        <f>'Master Expend Table'!I30</f>
        <v>5966640.3799999999</v>
      </c>
      <c r="J9" s="1">
        <f>'Master Expend Table'!J30</f>
        <v>4696717.68</v>
      </c>
      <c r="K9" s="1">
        <f>SUM(B9:J9)</f>
        <v>40879313.299999997</v>
      </c>
    </row>
    <row r="11" spans="1:11" x14ac:dyDescent="0.2">
      <c r="A11" t="s">
        <v>3</v>
      </c>
      <c r="B11" s="1">
        <f>(B9/($K9-$J9))*-$J$11</f>
        <v>2391069.996874325</v>
      </c>
      <c r="C11" s="1">
        <f t="shared" ref="C11:I11" si="0">(C9/($K9-$J9))*-$J$11</f>
        <v>298.84843881008447</v>
      </c>
      <c r="D11" s="1">
        <f t="shared" si="0"/>
        <v>6.4189062530279584</v>
      </c>
      <c r="E11" s="1">
        <f t="shared" si="0"/>
        <v>0</v>
      </c>
      <c r="G11" s="1">
        <f t="shared" si="0"/>
        <v>954257.1586641256</v>
      </c>
      <c r="H11" s="1">
        <f t="shared" si="0"/>
        <v>576579.58988188335</v>
      </c>
      <c r="I11" s="1">
        <f t="shared" si="0"/>
        <v>774505.66723460285</v>
      </c>
      <c r="J11" s="1">
        <f>-J9</f>
        <v>-4696717.68</v>
      </c>
      <c r="K11" s="1">
        <v>0</v>
      </c>
    </row>
    <row r="12" spans="1:11" x14ac:dyDescent="0.2">
      <c r="A12" t="s">
        <v>4</v>
      </c>
      <c r="B12" s="1">
        <f>+B9+B11</f>
        <v>20811406.216874324</v>
      </c>
      <c r="C12" s="1">
        <f t="shared" ref="C12:J12" si="1">+C9+C11</f>
        <v>2601.1184388100846</v>
      </c>
      <c r="D12" s="1">
        <f t="shared" si="1"/>
        <v>55.868906253027959</v>
      </c>
      <c r="E12" s="1">
        <f t="shared" si="1"/>
        <v>0</v>
      </c>
      <c r="G12" s="1">
        <f t="shared" si="1"/>
        <v>8305667.9186641257</v>
      </c>
      <c r="H12" s="1">
        <f t="shared" si="1"/>
        <v>5018436.129881883</v>
      </c>
      <c r="I12" s="1">
        <f t="shared" si="1"/>
        <v>6741146.0472346023</v>
      </c>
      <c r="J12" s="1">
        <f t="shared" si="1"/>
        <v>0</v>
      </c>
      <c r="K12" s="1">
        <f>SUM(B12:J12)</f>
        <v>40879313.299999997</v>
      </c>
    </row>
    <row r="14" spans="1:11" x14ac:dyDescent="0.2">
      <c r="A14" t="s">
        <v>5</v>
      </c>
      <c r="B14" s="1">
        <f>B$9/($K$9-$J$9-$I$9)*-I14</f>
        <v>4109556.547588577</v>
      </c>
      <c r="C14" s="1">
        <f t="shared" ref="C14:H14" si="2">C$9/($K$9-$J$9-$I$9)*-$I$14</f>
        <v>513.63387941551673</v>
      </c>
      <c r="D14" s="1">
        <f t="shared" si="2"/>
        <v>11.03224006615093</v>
      </c>
      <c r="E14" s="1">
        <f t="shared" si="2"/>
        <v>0</v>
      </c>
      <c r="G14" s="1">
        <f t="shared" si="2"/>
        <v>1640091.5738969676</v>
      </c>
      <c r="H14" s="1">
        <f t="shared" si="2"/>
        <v>990973.259629576</v>
      </c>
      <c r="I14" s="1">
        <f>-I12</f>
        <v>-6741146.0472346023</v>
      </c>
      <c r="K14" s="1">
        <v>0</v>
      </c>
    </row>
    <row r="15" spans="1:11" x14ac:dyDescent="0.2">
      <c r="A15" t="s">
        <v>4</v>
      </c>
      <c r="B15" s="1">
        <f>+B12+B14</f>
        <v>24920962.764462899</v>
      </c>
      <c r="C15" s="1">
        <f>+C12+C14</f>
        <v>3114.7523182256014</v>
      </c>
      <c r="D15" s="1">
        <f>+D12+D14</f>
        <v>66.901146319178892</v>
      </c>
      <c r="E15" s="1">
        <f>+E12+E14</f>
        <v>0</v>
      </c>
      <c r="G15" s="1">
        <f>+G12+G14</f>
        <v>9945759.4925610926</v>
      </c>
      <c r="H15" s="1">
        <f>+H12+H14</f>
        <v>6009409.3895114586</v>
      </c>
      <c r="I15" s="1">
        <f>+I12+I14</f>
        <v>0</v>
      </c>
      <c r="J15" s="1">
        <f>+J12+J14</f>
        <v>0</v>
      </c>
      <c r="K15" s="1">
        <f>SUM(B15:J15)</f>
        <v>40879313.299999997</v>
      </c>
    </row>
    <row r="17" spans="1:11" x14ac:dyDescent="0.2">
      <c r="A17" t="s">
        <v>6</v>
      </c>
      <c r="B17" s="1">
        <f>B$9/($K$9-$J$9-$I$9-$H$9)*-$H$17</f>
        <v>4294828.8018477252</v>
      </c>
      <c r="C17" s="1">
        <f>C$9/($K$9-$J$9-$I$9-$H$9)*-$H$17</f>
        <v>536.79017513774579</v>
      </c>
      <c r="D17" s="1">
        <f>D$9/($K$9-$J$9-$I$9-$H$9)*-$H$17</f>
        <v>11.529609542130823</v>
      </c>
      <c r="E17" s="1">
        <f>E$9/($K$9-$J$9-$I$9-$H$9)*-$H$17</f>
        <v>0</v>
      </c>
      <c r="G17" s="1">
        <f>G$9/($K$9-$J$9-$I$9-$H$9)*-$H$17</f>
        <v>1714032.2678790535</v>
      </c>
      <c r="H17" s="1">
        <f>-H15</f>
        <v>-6009409.3895114586</v>
      </c>
      <c r="K17" s="1">
        <v>0</v>
      </c>
    </row>
    <row r="18" spans="1:11" x14ac:dyDescent="0.2">
      <c r="A18" t="s">
        <v>4</v>
      </c>
      <c r="B18" s="1">
        <f>+B15+B17</f>
        <v>29215791.566310626</v>
      </c>
      <c r="C18" s="1">
        <f>+C15+C17</f>
        <v>3651.5424933633471</v>
      </c>
      <c r="D18" s="1">
        <f>+D15+D17</f>
        <v>78.43075586130972</v>
      </c>
      <c r="E18" s="1">
        <f>+E15+E17</f>
        <v>0</v>
      </c>
      <c r="G18" s="1">
        <f>+G15+G17</f>
        <v>11659791.760440147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40879313.299999997</v>
      </c>
    </row>
    <row r="20" spans="1:11" x14ac:dyDescent="0.2">
      <c r="A20" t="s">
        <v>7</v>
      </c>
      <c r="B20" s="1">
        <f>B$9/($K$9-$J$9-$I$9-$H$9-$G$9)*-$G$20</f>
        <v>11658303.3475892</v>
      </c>
      <c r="C20" s="1">
        <f>C$9/($K$9-$J$9-$I$9-$H$9-$G$9)*-$G$20</f>
        <v>1457.1157511724393</v>
      </c>
      <c r="D20" s="1">
        <f>D$9/($K$9-$J$9-$I$9-$H$9-$G$9)*-$G$20</f>
        <v>31.297099773474496</v>
      </c>
      <c r="E20" s="1">
        <f>E$9/($K$9-$J$9-$I$9-$H$9-$G$9)*-$G$20</f>
        <v>0</v>
      </c>
      <c r="G20" s="1">
        <f>-G18</f>
        <v>-11659791.760440147</v>
      </c>
      <c r="K20" s="1">
        <f>SUM(B20:J20)</f>
        <v>0</v>
      </c>
    </row>
    <row r="22" spans="1:11" x14ac:dyDescent="0.2">
      <c r="A22" t="s">
        <v>8</v>
      </c>
      <c r="B22" s="1">
        <f>+B20+B18</f>
        <v>40874094.913899824</v>
      </c>
      <c r="C22" s="1">
        <f t="shared" ref="C22:K22" si="3">+C20+C18</f>
        <v>5108.6582445357863</v>
      </c>
      <c r="D22" s="1">
        <f t="shared" si="3"/>
        <v>109.72785563478422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40879313.299999997</v>
      </c>
    </row>
    <row r="27" spans="1:11" x14ac:dyDescent="0.2">
      <c r="A27" t="s">
        <v>9</v>
      </c>
      <c r="B27" s="1">
        <f>+B9</f>
        <v>18420336.219999999</v>
      </c>
    </row>
    <row r="28" spans="1:11" x14ac:dyDescent="0.2">
      <c r="A28" t="s">
        <v>10</v>
      </c>
      <c r="B28" s="1">
        <f>+B22-B27</f>
        <v>22453758.693899825</v>
      </c>
    </row>
    <row r="29" spans="1:11" x14ac:dyDescent="0.2">
      <c r="A29" s="29" t="s">
        <v>170</v>
      </c>
      <c r="B29" s="1">
        <v>3830</v>
      </c>
    </row>
    <row r="30" spans="1:11" x14ac:dyDescent="0.2">
      <c r="A30" t="s">
        <v>11</v>
      </c>
      <c r="B30" s="1">
        <f>+B28/B29</f>
        <v>5862.6001811748893</v>
      </c>
    </row>
  </sheetData>
  <phoneticPr fontId="0" type="noConversion"/>
  <pageMargins left="0.56000000000000005" right="0.55000000000000004" top="1" bottom="0.46" header="0.5" footer="0.5"/>
  <pageSetup scale="10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17765637.349999998</v>
      </c>
      <c r="C9" s="1">
        <f>'Master Expend Table'!C31</f>
        <v>0</v>
      </c>
      <c r="D9" s="1">
        <f>'Master Expend Table'!D31</f>
        <v>739050.97000000009</v>
      </c>
      <c r="E9" s="1">
        <f>'Master Expend Table'!E31</f>
        <v>671558.49</v>
      </c>
      <c r="G9" s="1">
        <f>'Master Expend Table'!G31</f>
        <v>3449109.67</v>
      </c>
      <c r="H9" s="1">
        <f>'Master Expend Table'!H31</f>
        <v>5045744.2</v>
      </c>
      <c r="I9" s="1">
        <f>'Master Expend Table'!I31</f>
        <v>6759998.8200000003</v>
      </c>
      <c r="J9" s="1">
        <f>'Master Expend Table'!J31</f>
        <v>5221759.84</v>
      </c>
      <c r="K9" s="1">
        <f>SUM(B9:J9)</f>
        <v>39652859.340000004</v>
      </c>
    </row>
    <row r="11" spans="1:11" x14ac:dyDescent="0.2">
      <c r="A11" t="s">
        <v>3</v>
      </c>
      <c r="B11" s="1">
        <f>(B9/($K9-$J9))*-$J$11</f>
        <v>2694305.2354814871</v>
      </c>
      <c r="C11" s="1">
        <f t="shared" ref="C11:I11" si="0">(C9/($K9-$J9))*-$J$11</f>
        <v>0</v>
      </c>
      <c r="D11" s="1">
        <f t="shared" si="0"/>
        <v>112083.16698858382</v>
      </c>
      <c r="E11" s="1">
        <f t="shared" si="0"/>
        <v>101847.37647698534</v>
      </c>
      <c r="G11" s="1">
        <f t="shared" si="0"/>
        <v>523085.89095627493</v>
      </c>
      <c r="H11" s="1">
        <f t="shared" si="0"/>
        <v>765228.66853185813</v>
      </c>
      <c r="I11" s="1">
        <f t="shared" si="0"/>
        <v>1025209.5015648104</v>
      </c>
      <c r="J11" s="1">
        <f>-J9</f>
        <v>-5221759.84</v>
      </c>
      <c r="K11" s="1">
        <v>0</v>
      </c>
    </row>
    <row r="12" spans="1:11" x14ac:dyDescent="0.2">
      <c r="A12" t="s">
        <v>4</v>
      </c>
      <c r="B12" s="1">
        <f>+B9+B11</f>
        <v>20459942.585481483</v>
      </c>
      <c r="C12" s="1">
        <f t="shared" ref="C12:J12" si="1">+C9+C11</f>
        <v>0</v>
      </c>
      <c r="D12" s="1">
        <f t="shared" si="1"/>
        <v>851134.13698858395</v>
      </c>
      <c r="E12" s="1">
        <f t="shared" si="1"/>
        <v>773405.86647698539</v>
      </c>
      <c r="G12" s="1">
        <f t="shared" si="1"/>
        <v>3972195.5609562751</v>
      </c>
      <c r="H12" s="1">
        <f t="shared" si="1"/>
        <v>5810972.8685318585</v>
      </c>
      <c r="I12" s="1">
        <f t="shared" si="1"/>
        <v>7785208.3215648104</v>
      </c>
      <c r="J12" s="1">
        <f t="shared" si="1"/>
        <v>0</v>
      </c>
      <c r="K12" s="1">
        <f>SUM(B12:J12)</f>
        <v>39652859.339999996</v>
      </c>
    </row>
    <row r="14" spans="1:11" x14ac:dyDescent="0.2">
      <c r="A14" t="s">
        <v>5</v>
      </c>
      <c r="B14" s="1">
        <f>B$9/($K$9-$J$9-$I$9)*-I14</f>
        <v>4998326.208074878</v>
      </c>
      <c r="C14" s="1">
        <f t="shared" ref="C14:H14" si="2">C$9/($K$9-$J$9-$I$9)*-$I$14</f>
        <v>0</v>
      </c>
      <c r="D14" s="1">
        <f t="shared" si="2"/>
        <v>207930.49861811806</v>
      </c>
      <c r="E14" s="1">
        <f t="shared" si="2"/>
        <v>188941.62560524134</v>
      </c>
      <c r="G14" s="1">
        <f t="shared" si="2"/>
        <v>970400.0435472976</v>
      </c>
      <c r="H14" s="1">
        <f t="shared" si="2"/>
        <v>1419609.9457192745</v>
      </c>
      <c r="I14" s="1">
        <f>-I12</f>
        <v>-7785208.3215648104</v>
      </c>
      <c r="K14" s="1">
        <v>0</v>
      </c>
    </row>
    <row r="15" spans="1:11" x14ac:dyDescent="0.2">
      <c r="A15" t="s">
        <v>4</v>
      </c>
      <c r="B15" s="1">
        <f>+B12+B14</f>
        <v>25458268.793556362</v>
      </c>
      <c r="C15" s="1">
        <f>+C12+C14</f>
        <v>0</v>
      </c>
      <c r="D15" s="1">
        <f>+D12+D14</f>
        <v>1059064.635606702</v>
      </c>
      <c r="E15" s="1">
        <f>+E12+E14</f>
        <v>962347.49208222679</v>
      </c>
      <c r="G15" s="1">
        <f>+G12+G14</f>
        <v>4942595.6045035729</v>
      </c>
      <c r="H15" s="1">
        <f>+H12+H14</f>
        <v>7230582.8142511332</v>
      </c>
      <c r="I15" s="1">
        <f>+I12+I14</f>
        <v>0</v>
      </c>
      <c r="J15" s="1">
        <f>+J12+J14</f>
        <v>0</v>
      </c>
      <c r="K15" s="1">
        <f>SUM(B15:J15)</f>
        <v>39652859.339999996</v>
      </c>
    </row>
    <row r="17" spans="1:11" x14ac:dyDescent="0.2">
      <c r="A17" t="s">
        <v>6</v>
      </c>
      <c r="B17" s="1">
        <f>B$9/($K$9-$J$9-$I$9-$H$9)*-$H$17</f>
        <v>5677519.9197713602</v>
      </c>
      <c r="C17" s="1">
        <f>C$9/($K$9-$J$9-$I$9-$H$9)*-$H$17</f>
        <v>0</v>
      </c>
      <c r="D17" s="1">
        <f>D$9/($K$9-$J$9-$I$9-$H$9)*-$H$17</f>
        <v>236184.97446709091</v>
      </c>
      <c r="E17" s="1">
        <f>E$9/($K$9-$J$9-$I$9-$H$9)*-$H$17</f>
        <v>214615.81305252615</v>
      </c>
      <c r="G17" s="1">
        <f>G$9/($K$9-$J$9-$I$9-$H$9)*-$H$17</f>
        <v>1102262.1069601551</v>
      </c>
      <c r="H17" s="1">
        <f>-H15</f>
        <v>-7230582.8142511332</v>
      </c>
      <c r="K17" s="1">
        <v>0</v>
      </c>
    </row>
    <row r="18" spans="1:11" x14ac:dyDescent="0.2">
      <c r="A18" t="s">
        <v>4</v>
      </c>
      <c r="B18" s="1">
        <f>+B15+B17</f>
        <v>31135788.713327721</v>
      </c>
      <c r="C18" s="1">
        <f>+C15+C17</f>
        <v>0</v>
      </c>
      <c r="D18" s="1">
        <f>+D15+D17</f>
        <v>1295249.6100737927</v>
      </c>
      <c r="E18" s="1">
        <f>+E15+E17</f>
        <v>1176963.305134753</v>
      </c>
      <c r="G18" s="1">
        <f>+G15+G17</f>
        <v>6044857.711463728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39652859.339999996</v>
      </c>
    </row>
    <row r="20" spans="1:11" x14ac:dyDescent="0.2">
      <c r="A20" t="s">
        <v>7</v>
      </c>
      <c r="B20" s="1">
        <f>B$9/($K$9-$J$9-$I$9-$H$9-$G$9)*-$G$20</f>
        <v>5600196.4825678784</v>
      </c>
      <c r="C20" s="1">
        <f>C$9/($K$9-$J$9-$I$9-$H$9-$G$9)*-$G$20</f>
        <v>0</v>
      </c>
      <c r="D20" s="1">
        <f>D$9/($K$9-$J$9-$I$9-$H$9-$G$9)*-$G$20</f>
        <v>232968.31749367999</v>
      </c>
      <c r="E20" s="1">
        <f>E$9/($K$9-$J$9-$I$9-$H$9-$G$9)*-$G$20</f>
        <v>211692.91140216799</v>
      </c>
      <c r="G20" s="1">
        <f>-G18</f>
        <v>-6044857.711463728</v>
      </c>
      <c r="K20" s="1">
        <f>SUM(B20:J20)</f>
        <v>0</v>
      </c>
    </row>
    <row r="22" spans="1:11" x14ac:dyDescent="0.2">
      <c r="A22" t="s">
        <v>8</v>
      </c>
      <c r="B22" s="1">
        <f>+B20+B18</f>
        <v>36735985.195895597</v>
      </c>
      <c r="C22" s="1">
        <f t="shared" ref="C22:K22" si="3">+C20+C18</f>
        <v>0</v>
      </c>
      <c r="D22" s="1">
        <f t="shared" si="3"/>
        <v>1528217.9275674727</v>
      </c>
      <c r="E22" s="1">
        <f t="shared" si="3"/>
        <v>1388656.216536921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39652859.339999996</v>
      </c>
    </row>
    <row r="27" spans="1:11" x14ac:dyDescent="0.2">
      <c r="A27" t="s">
        <v>9</v>
      </c>
      <c r="B27" s="1">
        <f>+B9</f>
        <v>17765637.349999998</v>
      </c>
    </row>
    <row r="28" spans="1:11" x14ac:dyDescent="0.2">
      <c r="A28" t="s">
        <v>10</v>
      </c>
      <c r="B28" s="1">
        <f>+B22-B27</f>
        <v>18970347.8458956</v>
      </c>
    </row>
    <row r="29" spans="1:11" x14ac:dyDescent="0.2">
      <c r="A29" s="29" t="s">
        <v>170</v>
      </c>
      <c r="B29" s="1">
        <f>HIBBING!B29+'ITASCA CC'!B29+'MESABI RANGE'!B29+'RAINY RIVER'!B29+VERMILION!B29</f>
        <v>3085</v>
      </c>
    </row>
    <row r="30" spans="1:11" x14ac:dyDescent="0.2">
      <c r="A30" t="s">
        <v>11</v>
      </c>
      <c r="B30" s="1">
        <f>+B28/B29</f>
        <v>6149.2213438883628</v>
      </c>
    </row>
  </sheetData>
  <phoneticPr fontId="0" type="noConversion"/>
  <pageMargins left="0.56000000000000005" right="0.59" top="0.82" bottom="1" header="0.5" footer="0.5"/>
  <pageSetup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5887431.8600000003</v>
      </c>
      <c r="C9" s="1">
        <f>'Master Expend Table'!C32</f>
        <v>0</v>
      </c>
      <c r="D9" s="1">
        <f>'Master Expend Table'!D32</f>
        <v>465176.74</v>
      </c>
      <c r="E9" s="1">
        <f>'Master Expend Table'!E32</f>
        <v>22666.19</v>
      </c>
      <c r="G9" s="1">
        <f>'Master Expend Table'!G32</f>
        <v>1232886.52</v>
      </c>
      <c r="H9" s="1">
        <f>'Master Expend Table'!H32</f>
        <v>1121064.71</v>
      </c>
      <c r="I9" s="1">
        <f>'Master Expend Table'!I32</f>
        <v>2176657.85</v>
      </c>
      <c r="J9" s="1">
        <f>'Master Expend Table'!J32</f>
        <v>1593268.27</v>
      </c>
      <c r="K9" s="1">
        <f>SUM(B9:J9)</f>
        <v>12499152.139999999</v>
      </c>
    </row>
    <row r="11" spans="1:11" x14ac:dyDescent="0.2">
      <c r="A11" t="s">
        <v>3</v>
      </c>
      <c r="B11" s="1">
        <f>(B9/($K9-$J9))*-$J$11</f>
        <v>860109.87152800884</v>
      </c>
      <c r="C11" s="1">
        <f t="shared" ref="C11:I11" si="0">(C9/($K9-$J9))*-$J$11</f>
        <v>0</v>
      </c>
      <c r="D11" s="1">
        <f t="shared" si="0"/>
        <v>67958.85126035547</v>
      </c>
      <c r="E11" s="1">
        <f t="shared" si="0"/>
        <v>3311.3612577639979</v>
      </c>
      <c r="G11" s="1">
        <f t="shared" si="0"/>
        <v>180115.52261529086</v>
      </c>
      <c r="H11" s="1">
        <f t="shared" si="0"/>
        <v>163779.19042152353</v>
      </c>
      <c r="I11" s="1">
        <f t="shared" si="0"/>
        <v>317993.47291705757</v>
      </c>
      <c r="J11" s="1">
        <f>-J9</f>
        <v>-1593268.27</v>
      </c>
      <c r="K11" s="1">
        <v>0</v>
      </c>
    </row>
    <row r="12" spans="1:11" x14ac:dyDescent="0.2">
      <c r="A12" t="s">
        <v>4</v>
      </c>
      <c r="B12" s="1">
        <f>+B9+B11</f>
        <v>6747541.7315280093</v>
      </c>
      <c r="C12" s="1">
        <f t="shared" ref="C12:J12" si="1">+C9+C11</f>
        <v>0</v>
      </c>
      <c r="D12" s="1">
        <f t="shared" si="1"/>
        <v>533135.59126035543</v>
      </c>
      <c r="E12" s="1">
        <f t="shared" si="1"/>
        <v>25977.551257763997</v>
      </c>
      <c r="G12" s="1">
        <f t="shared" si="1"/>
        <v>1413002.042615291</v>
      </c>
      <c r="H12" s="1">
        <f t="shared" si="1"/>
        <v>1284843.9004215235</v>
      </c>
      <c r="I12" s="1">
        <f t="shared" si="1"/>
        <v>2494651.3229170577</v>
      </c>
      <c r="J12" s="1">
        <f t="shared" si="1"/>
        <v>0</v>
      </c>
      <c r="K12" s="1">
        <f>SUM(B12:J12)</f>
        <v>12499152.140000002</v>
      </c>
    </row>
    <row r="14" spans="1:11" x14ac:dyDescent="0.2">
      <c r="A14" t="s">
        <v>5</v>
      </c>
      <c r="B14" s="1">
        <f>B$9/($K$9-$J$9-$I$9)*-I14</f>
        <v>1682519.119619844</v>
      </c>
      <c r="C14" s="1">
        <f t="shared" ref="C14:H14" si="2">C$9/($K$9-$J$9-$I$9)*-$I$14</f>
        <v>0</v>
      </c>
      <c r="D14" s="1">
        <f t="shared" si="2"/>
        <v>132938.9074326253</v>
      </c>
      <c r="E14" s="1">
        <f t="shared" si="2"/>
        <v>6477.5778218409996</v>
      </c>
      <c r="G14" s="1">
        <f t="shared" si="2"/>
        <v>352336.16142804461</v>
      </c>
      <c r="H14" s="1">
        <f t="shared" si="2"/>
        <v>320379.55661470286</v>
      </c>
      <c r="I14" s="1">
        <f>-I12</f>
        <v>-2494651.3229170577</v>
      </c>
      <c r="K14" s="1">
        <v>0</v>
      </c>
    </row>
    <row r="15" spans="1:11" x14ac:dyDescent="0.2">
      <c r="A15" t="s">
        <v>4</v>
      </c>
      <c r="B15" s="1">
        <f>+B12+B14</f>
        <v>8430060.8511478528</v>
      </c>
      <c r="C15" s="1">
        <f>+C12+C14</f>
        <v>0</v>
      </c>
      <c r="D15" s="1">
        <f>+D12+D14</f>
        <v>666074.49869298073</v>
      </c>
      <c r="E15" s="1">
        <f>+E12+E14</f>
        <v>32455.129079604994</v>
      </c>
      <c r="G15" s="1">
        <f>+G12+G14</f>
        <v>1765338.2040433355</v>
      </c>
      <c r="H15" s="1">
        <f>+H12+H14</f>
        <v>1605223.4570362263</v>
      </c>
      <c r="I15" s="1">
        <f>+I12+I14</f>
        <v>0</v>
      </c>
      <c r="J15" s="1">
        <f>+J12+J14</f>
        <v>0</v>
      </c>
      <c r="K15" s="1">
        <f>SUM(B15:J15)</f>
        <v>12499152.140000001</v>
      </c>
    </row>
    <row r="17" spans="1:11" x14ac:dyDescent="0.2">
      <c r="A17" t="s">
        <v>6</v>
      </c>
      <c r="B17" s="1">
        <f>B$9/($K$9-$J$9-$I$9-$H$9)*-$H$17</f>
        <v>1242171.838674438</v>
      </c>
      <c r="C17" s="1">
        <f>C$9/($K$9-$J$9-$I$9-$H$9)*-$H$17</f>
        <v>0</v>
      </c>
      <c r="D17" s="1">
        <f>D$9/($K$9-$J$9-$I$9-$H$9)*-$H$17</f>
        <v>98146.264818830692</v>
      </c>
      <c r="E17" s="1">
        <f>E$9/($K$9-$J$9-$I$9-$H$9)*-$H$17</f>
        <v>4782.2724029020283</v>
      </c>
      <c r="G17" s="1">
        <f>G$9/($K$9-$J$9-$I$9-$H$9)*-$H$17</f>
        <v>260123.08114005573</v>
      </c>
      <c r="H17" s="1">
        <f>-H15</f>
        <v>-1605223.4570362263</v>
      </c>
      <c r="K17" s="1">
        <v>0</v>
      </c>
    </row>
    <row r="18" spans="1:11" x14ac:dyDescent="0.2">
      <c r="A18" t="s">
        <v>4</v>
      </c>
      <c r="B18" s="1">
        <f>+B15+B17</f>
        <v>9672232.6898222901</v>
      </c>
      <c r="C18" s="1">
        <f>+C15+C17</f>
        <v>0</v>
      </c>
      <c r="D18" s="1">
        <f>+D15+D17</f>
        <v>764220.76351181138</v>
      </c>
      <c r="E18" s="1">
        <f>+E15+E17</f>
        <v>37237.401482507019</v>
      </c>
      <c r="G18" s="1">
        <f>+G15+G17</f>
        <v>2025461.2851833913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12499152.139999999</v>
      </c>
    </row>
    <row r="20" spans="1:11" x14ac:dyDescent="0.2">
      <c r="A20" t="s">
        <v>7</v>
      </c>
      <c r="B20" s="1">
        <f>B$9/($K$9-$J$9-$I$9-$H$9-$G$9)*-$G$20</f>
        <v>1870470.7944965689</v>
      </c>
      <c r="C20" s="1">
        <f>C$9/($K$9-$J$9-$I$9-$H$9-$G$9)*-$G$20</f>
        <v>0</v>
      </c>
      <c r="D20" s="1">
        <f>D$9/($K$9-$J$9-$I$9-$H$9-$G$9)*-$G$20</f>
        <v>147789.31240982952</v>
      </c>
      <c r="E20" s="1">
        <f>E$9/($K$9-$J$9-$I$9-$H$9-$G$9)*-$G$20</f>
        <v>7201.1782769932861</v>
      </c>
      <c r="G20" s="1">
        <f>-G18</f>
        <v>-2025461.2851833913</v>
      </c>
      <c r="K20" s="1">
        <f>SUM(B20:J20)</f>
        <v>0</v>
      </c>
    </row>
    <row r="22" spans="1:11" x14ac:dyDescent="0.2">
      <c r="A22" t="s">
        <v>8</v>
      </c>
      <c r="B22" s="1">
        <f>+B20+B18</f>
        <v>11542703.48431886</v>
      </c>
      <c r="C22" s="1">
        <f t="shared" ref="C22:K22" si="3">+C20+C18</f>
        <v>0</v>
      </c>
      <c r="D22" s="1">
        <f t="shared" si="3"/>
        <v>912010.07592164096</v>
      </c>
      <c r="E22" s="1">
        <f t="shared" si="3"/>
        <v>44438.579759500302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12499152.139999999</v>
      </c>
    </row>
    <row r="27" spans="1:11" x14ac:dyDescent="0.2">
      <c r="A27" t="s">
        <v>9</v>
      </c>
      <c r="B27" s="1">
        <f>+B9</f>
        <v>5887431.8600000003</v>
      </c>
    </row>
    <row r="28" spans="1:11" x14ac:dyDescent="0.2">
      <c r="A28" t="s">
        <v>10</v>
      </c>
      <c r="B28" s="1">
        <f>+B22-B27</f>
        <v>5655271.6243188595</v>
      </c>
    </row>
    <row r="29" spans="1:11" x14ac:dyDescent="0.2">
      <c r="A29" s="29" t="s">
        <v>170</v>
      </c>
      <c r="B29" s="1">
        <v>806</v>
      </c>
    </row>
    <row r="30" spans="1:11" x14ac:dyDescent="0.2">
      <c r="A30" t="s">
        <v>11</v>
      </c>
      <c r="B30" s="1">
        <f>+B28/B29</f>
        <v>7016.4660351350612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3976141.41</v>
      </c>
      <c r="C9" s="1">
        <f>'Master Expend Table'!C33</f>
        <v>0</v>
      </c>
      <c r="D9" s="1">
        <f>'Master Expend Table'!D33</f>
        <v>98215.15</v>
      </c>
      <c r="E9" s="1">
        <f>'Master Expend Table'!E33</f>
        <v>241380.61</v>
      </c>
      <c r="G9" s="1">
        <f>'Master Expend Table'!G33</f>
        <v>733540.97</v>
      </c>
      <c r="H9" s="1">
        <f>'Master Expend Table'!H33</f>
        <v>1278486.48</v>
      </c>
      <c r="I9" s="1">
        <f>'Master Expend Table'!I33</f>
        <v>1337604.71</v>
      </c>
      <c r="J9" s="1">
        <f>'Master Expend Table'!J33</f>
        <v>1448606.44</v>
      </c>
      <c r="K9" s="1">
        <f>SUM(B9:J9)</f>
        <v>9113975.7699999996</v>
      </c>
    </row>
    <row r="11" spans="1:11" x14ac:dyDescent="0.2">
      <c r="A11" t="s">
        <v>3</v>
      </c>
      <c r="B11" s="1">
        <f>(B9/($K9-$J9))*-$J$11</f>
        <v>751413.7681969566</v>
      </c>
      <c r="C11" s="1">
        <f t="shared" ref="C11:I11" si="0">(C9/($K9-$J9))*-$J$11</f>
        <v>0</v>
      </c>
      <c r="D11" s="1">
        <f t="shared" si="0"/>
        <v>18560.762393893157</v>
      </c>
      <c r="E11" s="1">
        <f t="shared" si="0"/>
        <v>45616.263363676488</v>
      </c>
      <c r="G11" s="1">
        <f t="shared" si="0"/>
        <v>138625.04563049498</v>
      </c>
      <c r="H11" s="1">
        <f t="shared" si="0"/>
        <v>241609.19958972558</v>
      </c>
      <c r="I11" s="1">
        <f t="shared" si="0"/>
        <v>252781.40082525313</v>
      </c>
      <c r="J11" s="1">
        <f>-J9</f>
        <v>-1448606.44</v>
      </c>
      <c r="K11" s="1">
        <v>0</v>
      </c>
    </row>
    <row r="12" spans="1:11" x14ac:dyDescent="0.2">
      <c r="A12" t="s">
        <v>4</v>
      </c>
      <c r="B12" s="1">
        <f>+B9+B11</f>
        <v>4727555.1781969564</v>
      </c>
      <c r="C12" s="1">
        <f t="shared" ref="C12:J12" si="1">+C9+C11</f>
        <v>0</v>
      </c>
      <c r="D12" s="1">
        <f t="shared" si="1"/>
        <v>116775.91239389314</v>
      </c>
      <c r="E12" s="1">
        <f t="shared" si="1"/>
        <v>286996.87336367648</v>
      </c>
      <c r="G12" s="1">
        <f t="shared" si="1"/>
        <v>872166.01563049492</v>
      </c>
      <c r="H12" s="1">
        <f t="shared" si="1"/>
        <v>1520095.6795897256</v>
      </c>
      <c r="I12" s="1">
        <f t="shared" si="1"/>
        <v>1590386.1108252532</v>
      </c>
      <c r="J12" s="1">
        <f t="shared" si="1"/>
        <v>0</v>
      </c>
      <c r="K12" s="1">
        <f>SUM(B12:J12)</f>
        <v>9113975.7699999996</v>
      </c>
    </row>
    <row r="14" spans="1:11" x14ac:dyDescent="0.2">
      <c r="A14" t="s">
        <v>5</v>
      </c>
      <c r="B14" s="1">
        <f>B$9/($K$9-$J$9-$I$9)*-I14</f>
        <v>999341.8612876815</v>
      </c>
      <c r="C14" s="1">
        <f t="shared" ref="C14:H14" si="2">C$9/($K$9-$J$9-$I$9)*-$I$14</f>
        <v>0</v>
      </c>
      <c r="D14" s="1">
        <f t="shared" si="2"/>
        <v>24684.864215543283</v>
      </c>
      <c r="E14" s="1">
        <f t="shared" si="2"/>
        <v>60667.29605478391</v>
      </c>
      <c r="G14" s="1">
        <f t="shared" si="2"/>
        <v>184364.21713949335</v>
      </c>
      <c r="H14" s="1">
        <f t="shared" si="2"/>
        <v>321327.87212775118</v>
      </c>
      <c r="I14" s="1">
        <f>-I12</f>
        <v>-1590386.1108252532</v>
      </c>
      <c r="K14" s="1">
        <v>0</v>
      </c>
    </row>
    <row r="15" spans="1:11" x14ac:dyDescent="0.2">
      <c r="A15" t="s">
        <v>4</v>
      </c>
      <c r="B15" s="1">
        <f>+B12+B14</f>
        <v>5726897.0394846378</v>
      </c>
      <c r="C15" s="1">
        <f>+C12+C14</f>
        <v>0</v>
      </c>
      <c r="D15" s="1">
        <f>+D12+D14</f>
        <v>141460.77660943643</v>
      </c>
      <c r="E15" s="1">
        <f>+E12+E14</f>
        <v>347664.1694184604</v>
      </c>
      <c r="G15" s="1">
        <f>+G12+G14</f>
        <v>1056530.2327699882</v>
      </c>
      <c r="H15" s="1">
        <f>+H12+H14</f>
        <v>1841423.5517174767</v>
      </c>
      <c r="I15" s="1">
        <f>+I12+I14</f>
        <v>0</v>
      </c>
      <c r="J15" s="1">
        <f>+J12+J14</f>
        <v>0</v>
      </c>
      <c r="K15" s="1">
        <f>SUM(B15:J15)</f>
        <v>9113975.7699999996</v>
      </c>
    </row>
    <row r="17" spans="1:11" x14ac:dyDescent="0.2">
      <c r="A17" t="s">
        <v>6</v>
      </c>
      <c r="B17" s="1">
        <f>B$9/($K$9-$J$9-$I$9-$H$9)*-$H$17</f>
        <v>1450060.8273746502</v>
      </c>
      <c r="C17" s="1">
        <f>C$9/($K$9-$J$9-$I$9-$H$9)*-$H$17</f>
        <v>0</v>
      </c>
      <c r="D17" s="1">
        <f>D$9/($K$9-$J$9-$I$9-$H$9)*-$H$17</f>
        <v>35818.127924611552</v>
      </c>
      <c r="E17" s="1">
        <f>E$9/($K$9-$J$9-$I$9-$H$9)*-$H$17</f>
        <v>88029.204939368021</v>
      </c>
      <c r="G17" s="1">
        <f>G$9/($K$9-$J$9-$I$9-$H$9)*-$H$17</f>
        <v>267515.39147884666</v>
      </c>
      <c r="H17" s="1">
        <f>-H15</f>
        <v>-1841423.5517174767</v>
      </c>
      <c r="K17" s="1">
        <v>0</v>
      </c>
    </row>
    <row r="18" spans="1:11" x14ac:dyDescent="0.2">
      <c r="A18" t="s">
        <v>4</v>
      </c>
      <c r="B18" s="1">
        <f>+B15+B17</f>
        <v>7176957.866859288</v>
      </c>
      <c r="C18" s="1">
        <f>+C15+C17</f>
        <v>0</v>
      </c>
      <c r="D18" s="1">
        <f>+D15+D17</f>
        <v>177278.90453404799</v>
      </c>
      <c r="E18" s="1">
        <f>+E15+E17</f>
        <v>435693.3743578284</v>
      </c>
      <c r="G18" s="1">
        <f>+G15+G17</f>
        <v>1324045.6242488348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9113975.7699999996</v>
      </c>
    </row>
    <row r="20" spans="1:11" x14ac:dyDescent="0.2">
      <c r="A20" t="s">
        <v>7</v>
      </c>
      <c r="B20" s="1">
        <f>B$9/($K$9-$J$9-$I$9-$H$9-$G$9)*-$G$20</f>
        <v>1219859.4186645271</v>
      </c>
      <c r="C20" s="1">
        <f>C$9/($K$9-$J$9-$I$9-$H$9-$G$9)*-$G$20</f>
        <v>0</v>
      </c>
      <c r="D20" s="1">
        <f>D$9/($K$9-$J$9-$I$9-$H$9-$G$9)*-$G$20</f>
        <v>30131.895078412039</v>
      </c>
      <c r="E20" s="1">
        <f>E$9/($K$9-$J$9-$I$9-$H$9-$G$9)*-$G$20</f>
        <v>74054.310505895439</v>
      </c>
      <c r="G20" s="1">
        <f>-G18</f>
        <v>-1324045.6242488348</v>
      </c>
      <c r="K20" s="1">
        <f>SUM(B20:J20)</f>
        <v>0</v>
      </c>
    </row>
    <row r="22" spans="1:11" x14ac:dyDescent="0.2">
      <c r="A22" t="s">
        <v>8</v>
      </c>
      <c r="B22" s="1">
        <f>+B20+B18</f>
        <v>8396817.2855238151</v>
      </c>
      <c r="C22" s="1">
        <f t="shared" ref="C22:K22" si="3">+C20+C18</f>
        <v>0</v>
      </c>
      <c r="D22" s="1">
        <f t="shared" si="3"/>
        <v>207410.79961246002</v>
      </c>
      <c r="E22" s="1">
        <f t="shared" si="3"/>
        <v>509747.68486372381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9113975.7699999996</v>
      </c>
    </row>
    <row r="27" spans="1:11" x14ac:dyDescent="0.2">
      <c r="A27" t="s">
        <v>9</v>
      </c>
      <c r="B27" s="1">
        <f>+B9</f>
        <v>3976141.41</v>
      </c>
    </row>
    <row r="28" spans="1:11" x14ac:dyDescent="0.2">
      <c r="A28" t="s">
        <v>10</v>
      </c>
      <c r="B28" s="1">
        <f>+B22-B27</f>
        <v>4420675.8755238149</v>
      </c>
    </row>
    <row r="29" spans="1:11" x14ac:dyDescent="0.2">
      <c r="A29" s="29" t="s">
        <v>170</v>
      </c>
      <c r="B29" s="1">
        <v>821</v>
      </c>
    </row>
    <row r="30" spans="1:11" x14ac:dyDescent="0.2">
      <c r="A30" t="s">
        <v>11</v>
      </c>
      <c r="B30" s="1">
        <f>+B28/B29</f>
        <v>5384.5016754248663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10532387.189999999</v>
      </c>
      <c r="C9" s="1">
        <f>'Master Expend Table'!C6</f>
        <v>5634.59</v>
      </c>
      <c r="D9" s="1">
        <f>'Master Expend Table'!D6</f>
        <v>960307.22</v>
      </c>
      <c r="E9" s="1">
        <f>'Master Expend Table'!E6</f>
        <v>65935.8</v>
      </c>
      <c r="G9" s="1">
        <f>'Master Expend Table'!G6</f>
        <v>2232322.44</v>
      </c>
      <c r="H9" s="1">
        <f>'Master Expend Table'!H6</f>
        <v>2271065.71</v>
      </c>
      <c r="I9" s="1">
        <f>'Master Expend Table'!I6</f>
        <v>5353562.05</v>
      </c>
      <c r="J9" s="1">
        <f>'Master Expend Table'!J6</f>
        <v>2647273.0099999998</v>
      </c>
      <c r="K9" s="1">
        <f>SUM(B9:J9)</f>
        <v>24068488.009999998</v>
      </c>
    </row>
    <row r="11" spans="1:11" x14ac:dyDescent="0.2">
      <c r="A11" t="s">
        <v>3</v>
      </c>
      <c r="B11" s="1">
        <f>(B9/($K9-$J9))*-$J$11</f>
        <v>1301611.7124521993</v>
      </c>
      <c r="C11" s="1">
        <f t="shared" ref="C11:I11" si="0">(C9/($K9-$J9))*-$J$11</f>
        <v>696.33295914428288</v>
      </c>
      <c r="D11" s="1">
        <f t="shared" si="0"/>
        <v>118676.52627613008</v>
      </c>
      <c r="E11" s="1">
        <f t="shared" si="0"/>
        <v>8148.4670095864303</v>
      </c>
      <c r="G11" s="1">
        <f t="shared" si="0"/>
        <v>275874.4984833654</v>
      </c>
      <c r="H11" s="1">
        <f t="shared" si="0"/>
        <v>280662.46279772115</v>
      </c>
      <c r="I11" s="1">
        <f t="shared" si="0"/>
        <v>661603.01002185303</v>
      </c>
      <c r="J11" s="1">
        <f>-J9</f>
        <v>-2647273.0099999998</v>
      </c>
      <c r="K11" s="1">
        <v>0</v>
      </c>
    </row>
    <row r="12" spans="1:11" x14ac:dyDescent="0.2">
      <c r="A12" t="s">
        <v>4</v>
      </c>
      <c r="B12" s="1">
        <f>+B9+B11</f>
        <v>11833998.902452199</v>
      </c>
      <c r="C12" s="1">
        <f t="shared" ref="C12:J12" si="1">+C9+C11</f>
        <v>6330.9229591442827</v>
      </c>
      <c r="D12" s="1">
        <f t="shared" si="1"/>
        <v>1078983.74627613</v>
      </c>
      <c r="E12" s="1">
        <f t="shared" si="1"/>
        <v>74084.267009586431</v>
      </c>
      <c r="G12" s="1">
        <f t="shared" si="1"/>
        <v>2508196.9384833653</v>
      </c>
      <c r="H12" s="1">
        <f t="shared" si="1"/>
        <v>2551728.1727977209</v>
      </c>
      <c r="I12" s="1">
        <f t="shared" si="1"/>
        <v>6015165.0600218531</v>
      </c>
      <c r="J12" s="1">
        <f t="shared" si="1"/>
        <v>0</v>
      </c>
      <c r="K12" s="1">
        <f>SUM(B12:J12)</f>
        <v>24068488.009999998</v>
      </c>
    </row>
    <row r="14" spans="1:11" x14ac:dyDescent="0.2">
      <c r="A14" t="s">
        <v>5</v>
      </c>
      <c r="B14" s="1">
        <f>B$9/($K$9-$J$9-$I$9)*-I14</f>
        <v>3942955.9264851897</v>
      </c>
      <c r="C14" s="1">
        <f t="shared" ref="C14:H14" si="2">C$9/($K$9-$J$9-$I$9)*-$I$14</f>
        <v>2109.3926412910564</v>
      </c>
      <c r="D14" s="1">
        <f t="shared" si="2"/>
        <v>359505.30264787172</v>
      </c>
      <c r="E14" s="1">
        <f t="shared" si="2"/>
        <v>24684.048230241922</v>
      </c>
      <c r="G14" s="1">
        <f t="shared" si="2"/>
        <v>835703.13508611906</v>
      </c>
      <c r="H14" s="1">
        <f t="shared" si="2"/>
        <v>850207.25493113929</v>
      </c>
      <c r="I14" s="1">
        <f>-I12</f>
        <v>-6015165.0600218531</v>
      </c>
      <c r="K14" s="1">
        <v>0</v>
      </c>
    </row>
    <row r="15" spans="1:11" x14ac:dyDescent="0.2">
      <c r="A15" t="s">
        <v>4</v>
      </c>
      <c r="B15" s="1">
        <f>+B12+B14</f>
        <v>15776954.828937389</v>
      </c>
      <c r="C15" s="1">
        <f>+C12+C14</f>
        <v>8440.3156004353386</v>
      </c>
      <c r="D15" s="1">
        <f>+D12+D14</f>
        <v>1438489.0489240016</v>
      </c>
      <c r="E15" s="1">
        <f>+E12+E14</f>
        <v>98768.315239828356</v>
      </c>
      <c r="G15" s="1">
        <f>+G12+G14</f>
        <v>3343900.0735694845</v>
      </c>
      <c r="H15" s="1">
        <f>+H12+H14</f>
        <v>3401935.4277288602</v>
      </c>
      <c r="I15" s="1">
        <f>+I12+I14</f>
        <v>0</v>
      </c>
      <c r="J15" s="1">
        <f>+J12+J14</f>
        <v>0</v>
      </c>
      <c r="K15" s="1">
        <f>SUM(B15:J15)</f>
        <v>24068488.010000002</v>
      </c>
    </row>
    <row r="17" spans="1:11" x14ac:dyDescent="0.2">
      <c r="A17" t="s">
        <v>6</v>
      </c>
      <c r="B17" s="1">
        <f>B$9/($K$9-$J$9-$I$9-$H$9)*-$H$17</f>
        <v>2597055.3802128984</v>
      </c>
      <c r="C17" s="1">
        <f>C$9/($K$9-$J$9-$I$9-$H$9)*-$H$17</f>
        <v>1389.3661532579677</v>
      </c>
      <c r="D17" s="1">
        <f>D$9/($K$9-$J$9-$I$9-$H$9)*-$H$17</f>
        <v>236790.67122847497</v>
      </c>
      <c r="E17" s="1">
        <f>E$9/($K$9-$J$9-$I$9-$H$9)*-$H$17</f>
        <v>16258.320269617969</v>
      </c>
      <c r="G17" s="1">
        <f>G$9/($K$9-$J$9-$I$9-$H$9)*-$H$17</f>
        <v>550441.68986461137</v>
      </c>
      <c r="H17" s="1">
        <f>-H15</f>
        <v>-3401935.4277288602</v>
      </c>
      <c r="K17" s="1">
        <v>0</v>
      </c>
    </row>
    <row r="18" spans="1:11" x14ac:dyDescent="0.2">
      <c r="A18" t="s">
        <v>4</v>
      </c>
      <c r="B18" s="1">
        <f>+B15+B17</f>
        <v>18374010.209150288</v>
      </c>
      <c r="C18" s="1">
        <f>+C15+C17</f>
        <v>9829.6817536933067</v>
      </c>
      <c r="D18" s="1">
        <f>+D15+D17</f>
        <v>1675279.7201524766</v>
      </c>
      <c r="E18" s="1">
        <f>+E15+E17</f>
        <v>115026.63550944632</v>
      </c>
      <c r="G18" s="1">
        <f>+G15+G17</f>
        <v>3894341.7634340958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24068488.010000002</v>
      </c>
    </row>
    <row r="20" spans="1:11" x14ac:dyDescent="0.2">
      <c r="A20" t="s">
        <v>7</v>
      </c>
      <c r="B20" s="1">
        <f>B$9/($K$9-$J$9-$I$9-$H$9-$G$9)*-$G$20</f>
        <v>3546850.233200755</v>
      </c>
      <c r="C20" s="1">
        <f>C$9/($K$9-$J$9-$I$9-$H$9-$G$9)*-$G$20</f>
        <v>1897.4850140778619</v>
      </c>
      <c r="D20" s="1">
        <f>D$9/($K$9-$J$9-$I$9-$H$9-$G$9)*-$G$20</f>
        <v>323389.73356726445</v>
      </c>
      <c r="E20" s="1">
        <f>E$9/($K$9-$J$9-$I$9-$H$9-$G$9)*-$G$20</f>
        <v>22204.311651998654</v>
      </c>
      <c r="G20" s="1">
        <f>-G18</f>
        <v>-3894341.7634340958</v>
      </c>
      <c r="K20" s="1">
        <f>SUM(B20:J20)</f>
        <v>0</v>
      </c>
    </row>
    <row r="22" spans="1:11" x14ac:dyDescent="0.2">
      <c r="A22" t="s">
        <v>8</v>
      </c>
      <c r="B22" s="1">
        <f>+B20+B18</f>
        <v>21920860.442351043</v>
      </c>
      <c r="C22" s="1">
        <f t="shared" ref="C22:K22" si="3">+C20+C18</f>
        <v>11727.166767771168</v>
      </c>
      <c r="D22" s="1">
        <f t="shared" si="3"/>
        <v>1998669.453719741</v>
      </c>
      <c r="E22" s="1">
        <f t="shared" si="3"/>
        <v>137230.94716144499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24068488.010000002</v>
      </c>
    </row>
    <row r="27" spans="1:11" x14ac:dyDescent="0.2">
      <c r="A27" t="s">
        <v>9</v>
      </c>
      <c r="B27" s="1">
        <f>+B9</f>
        <v>10532387.189999999</v>
      </c>
    </row>
    <row r="28" spans="1:11" x14ac:dyDescent="0.2">
      <c r="A28" t="s">
        <v>10</v>
      </c>
      <c r="B28" s="1">
        <f>+B22-B27</f>
        <v>11388473.252351044</v>
      </c>
    </row>
    <row r="29" spans="1:11" x14ac:dyDescent="0.2">
      <c r="A29" s="29" t="s">
        <v>170</v>
      </c>
      <c r="B29" s="1">
        <v>1729</v>
      </c>
    </row>
    <row r="30" spans="1:11" x14ac:dyDescent="0.2">
      <c r="A30" t="s">
        <v>11</v>
      </c>
      <c r="B30" s="1">
        <f>+B28/B29</f>
        <v>6586.7398799022812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4474292.8099999996</v>
      </c>
      <c r="C9" s="1">
        <f>'Master Expend Table'!C34</f>
        <v>0</v>
      </c>
      <c r="D9" s="1">
        <f>'Master Expend Table'!D34</f>
        <v>97632.16</v>
      </c>
      <c r="E9" s="1">
        <f>'Master Expend Table'!E34</f>
        <v>212656.94</v>
      </c>
      <c r="G9" s="1">
        <f>'Master Expend Table'!G34</f>
        <v>700927.09</v>
      </c>
      <c r="H9" s="1">
        <f>'Master Expend Table'!H34</f>
        <v>1156320.6200000001</v>
      </c>
      <c r="I9" s="1">
        <f>'Master Expend Table'!I34</f>
        <v>1500325.14</v>
      </c>
      <c r="J9" s="1">
        <f>'Master Expend Table'!J34</f>
        <v>1388997.58</v>
      </c>
      <c r="K9" s="1">
        <f>SUM(B9:J9)</f>
        <v>9531152.3399999999</v>
      </c>
    </row>
    <row r="11" spans="1:11" x14ac:dyDescent="0.2">
      <c r="A11" t="s">
        <v>3</v>
      </c>
      <c r="B11" s="1">
        <f>(B9/($K9-$J9))*-$J$11</f>
        <v>763284.6670801182</v>
      </c>
      <c r="C11" s="1">
        <f t="shared" ref="C11:I11" si="0">(C9/($K9-$J9))*-$J$11</f>
        <v>0</v>
      </c>
      <c r="D11" s="1">
        <f t="shared" si="0"/>
        <v>16655.398720298068</v>
      </c>
      <c r="E11" s="1">
        <f t="shared" si="0"/>
        <v>36277.863014999384</v>
      </c>
      <c r="G11" s="1">
        <f t="shared" si="0"/>
        <v>119573.51100096777</v>
      </c>
      <c r="H11" s="1">
        <f t="shared" si="0"/>
        <v>197260.62574670344</v>
      </c>
      <c r="I11" s="1">
        <f t="shared" si="0"/>
        <v>255945.51443691316</v>
      </c>
      <c r="J11" s="1">
        <f>-J9</f>
        <v>-1388997.58</v>
      </c>
      <c r="K11" s="1">
        <v>0</v>
      </c>
    </row>
    <row r="12" spans="1:11" x14ac:dyDescent="0.2">
      <c r="A12" t="s">
        <v>4</v>
      </c>
      <c r="B12" s="1">
        <f>+B9+B11</f>
        <v>5237577.4770801179</v>
      </c>
      <c r="C12" s="1">
        <f t="shared" ref="C12:J12" si="1">+C9+C11</f>
        <v>0</v>
      </c>
      <c r="D12" s="1">
        <f t="shared" si="1"/>
        <v>114287.55872029807</v>
      </c>
      <c r="E12" s="1">
        <f t="shared" si="1"/>
        <v>248934.80301499937</v>
      </c>
      <c r="G12" s="1">
        <f t="shared" si="1"/>
        <v>820500.60100096778</v>
      </c>
      <c r="H12" s="1">
        <f t="shared" si="1"/>
        <v>1353581.2457467036</v>
      </c>
      <c r="I12" s="1">
        <f t="shared" si="1"/>
        <v>1756270.6544369131</v>
      </c>
      <c r="J12" s="1">
        <f t="shared" si="1"/>
        <v>0</v>
      </c>
      <c r="K12" s="1">
        <f>SUM(B12:J12)</f>
        <v>9531152.3399999999</v>
      </c>
    </row>
    <row r="14" spans="1:11" x14ac:dyDescent="0.2">
      <c r="A14" t="s">
        <v>5</v>
      </c>
      <c r="B14" s="1">
        <f>B$9/($K$9-$J$9-$I$9)*-I14</f>
        <v>1183118.148333512</v>
      </c>
      <c r="C14" s="1">
        <f t="shared" ref="C14:H14" si="2">C$9/($K$9-$J$9-$I$9)*-$I$14</f>
        <v>0</v>
      </c>
      <c r="D14" s="1">
        <f t="shared" si="2"/>
        <v>25816.455306375265</v>
      </c>
      <c r="E14" s="1">
        <f t="shared" si="2"/>
        <v>56231.966875469378</v>
      </c>
      <c r="G14" s="1">
        <f t="shared" si="2"/>
        <v>185343.15836106334</v>
      </c>
      <c r="H14" s="1">
        <f t="shared" si="2"/>
        <v>305760.92556049296</v>
      </c>
      <c r="I14" s="1">
        <f>-I12</f>
        <v>-1756270.6544369131</v>
      </c>
      <c r="K14" s="1">
        <v>0</v>
      </c>
    </row>
    <row r="15" spans="1:11" x14ac:dyDescent="0.2">
      <c r="A15" t="s">
        <v>4</v>
      </c>
      <c r="B15" s="1">
        <f>+B12+B14</f>
        <v>6420695.6254136302</v>
      </c>
      <c r="C15" s="1">
        <f>+C12+C14</f>
        <v>0</v>
      </c>
      <c r="D15" s="1">
        <f>+D12+D14</f>
        <v>140104.01402667334</v>
      </c>
      <c r="E15" s="1">
        <f>+E12+E14</f>
        <v>305166.76989046874</v>
      </c>
      <c r="G15" s="1">
        <f>+G12+G14</f>
        <v>1005843.7593620311</v>
      </c>
      <c r="H15" s="1">
        <f>+H12+H14</f>
        <v>1659342.1713071966</v>
      </c>
      <c r="I15" s="1">
        <f>+I12+I14</f>
        <v>0</v>
      </c>
      <c r="J15" s="1">
        <f>+J12+J14</f>
        <v>0</v>
      </c>
      <c r="K15" s="1">
        <f>SUM(B15:J15)</f>
        <v>9531152.3399999999</v>
      </c>
    </row>
    <row r="17" spans="1:11" x14ac:dyDescent="0.2">
      <c r="A17" t="s">
        <v>6</v>
      </c>
      <c r="B17" s="1">
        <f>B$9/($K$9-$J$9-$I$9-$H$9)*-$H$17</f>
        <v>1353453.7535914311</v>
      </c>
      <c r="C17" s="1">
        <f>C$9/($K$9-$J$9-$I$9-$H$9)*-$H$17</f>
        <v>0</v>
      </c>
      <c r="D17" s="1">
        <f>D$9/($K$9-$J$9-$I$9-$H$9)*-$H$17</f>
        <v>29533.295882626688</v>
      </c>
      <c r="E17" s="1">
        <f>E$9/($K$9-$J$9-$I$9-$H$9)*-$H$17</f>
        <v>64327.782264716778</v>
      </c>
      <c r="G17" s="1">
        <f>G$9/($K$9-$J$9-$I$9-$H$9)*-$H$17</f>
        <v>212027.33956842197</v>
      </c>
      <c r="H17" s="1">
        <f>-H15</f>
        <v>-1659342.1713071966</v>
      </c>
      <c r="K17" s="1">
        <v>0</v>
      </c>
    </row>
    <row r="18" spans="1:11" x14ac:dyDescent="0.2">
      <c r="A18" t="s">
        <v>4</v>
      </c>
      <c r="B18" s="1">
        <f>+B15+B17</f>
        <v>7774149.3790050615</v>
      </c>
      <c r="C18" s="1">
        <f>+C15+C17</f>
        <v>0</v>
      </c>
      <c r="D18" s="1">
        <f>+D15+D17</f>
        <v>169637.30990930003</v>
      </c>
      <c r="E18" s="1">
        <f>+E15+E17</f>
        <v>369494.55215518549</v>
      </c>
      <c r="G18" s="1">
        <f>+G15+G17</f>
        <v>1217871.0989304532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9531152.3399999999</v>
      </c>
    </row>
    <row r="20" spans="1:11" x14ac:dyDescent="0.2">
      <c r="A20" t="s">
        <v>7</v>
      </c>
      <c r="B20" s="1">
        <f>B$9/($K$9-$J$9-$I$9-$H$9-$G$9)*-$G$20</f>
        <v>1138889.8766812677</v>
      </c>
      <c r="C20" s="1">
        <f>C$9/($K$9-$J$9-$I$9-$H$9-$G$9)*-$G$20</f>
        <v>0</v>
      </c>
      <c r="D20" s="1">
        <f>D$9/($K$9-$J$9-$I$9-$H$9-$G$9)*-$G$20</f>
        <v>24851.363865595071</v>
      </c>
      <c r="E20" s="1">
        <f>E$9/($K$9-$J$9-$I$9-$H$9-$G$9)*-$G$20</f>
        <v>54129.858383590188</v>
      </c>
      <c r="G20" s="1">
        <f>-G18</f>
        <v>-1217871.0989304532</v>
      </c>
      <c r="K20" s="1">
        <f>SUM(B20:J20)</f>
        <v>0</v>
      </c>
    </row>
    <row r="22" spans="1:11" x14ac:dyDescent="0.2">
      <c r="A22" t="s">
        <v>8</v>
      </c>
      <c r="B22" s="1">
        <f>+B20+B18</f>
        <v>8913039.2556863297</v>
      </c>
      <c r="C22" s="1">
        <f t="shared" ref="C22:K22" si="3">+C20+C18</f>
        <v>0</v>
      </c>
      <c r="D22" s="1">
        <f t="shared" si="3"/>
        <v>194488.67377489511</v>
      </c>
      <c r="E22" s="1">
        <f t="shared" si="3"/>
        <v>423624.41053877567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9531152.3399999999</v>
      </c>
    </row>
    <row r="27" spans="1:11" x14ac:dyDescent="0.2">
      <c r="A27" t="s">
        <v>9</v>
      </c>
      <c r="B27" s="1">
        <f>+B9</f>
        <v>4474292.8099999996</v>
      </c>
    </row>
    <row r="28" spans="1:11" x14ac:dyDescent="0.2">
      <c r="A28" t="s">
        <v>10</v>
      </c>
      <c r="B28" s="1">
        <f>+B22-B27</f>
        <v>4438746.4456863301</v>
      </c>
    </row>
    <row r="29" spans="1:11" x14ac:dyDescent="0.2">
      <c r="A29" s="29" t="s">
        <v>170</v>
      </c>
      <c r="B29" s="1">
        <v>755</v>
      </c>
    </row>
    <row r="30" spans="1:11" x14ac:dyDescent="0.2">
      <c r="A30" t="s">
        <v>11</v>
      </c>
      <c r="B30" s="1">
        <f>+B28/B29</f>
        <v>5879.1343651474572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898661.95</v>
      </c>
      <c r="C9" s="1">
        <f>'Master Expend Table'!C35</f>
        <v>0</v>
      </c>
      <c r="D9" s="1">
        <f>'Master Expend Table'!D35</f>
        <v>2691.25</v>
      </c>
      <c r="E9" s="1">
        <f>'Master Expend Table'!E35</f>
        <v>194854.75</v>
      </c>
      <c r="G9" s="1">
        <f>'Master Expend Table'!G35</f>
        <v>231290.77</v>
      </c>
      <c r="H9" s="1">
        <f>'Master Expend Table'!H35</f>
        <v>443974.57</v>
      </c>
      <c r="I9" s="1">
        <f>'Master Expend Table'!I35</f>
        <v>805650.67</v>
      </c>
      <c r="J9" s="1">
        <f>'Master Expend Table'!J35</f>
        <v>312625.74</v>
      </c>
      <c r="K9" s="1">
        <f>SUM(B9:J9)</f>
        <v>2889749.7</v>
      </c>
    </row>
    <row r="11" spans="1:11" x14ac:dyDescent="0.2">
      <c r="A11" t="s">
        <v>3</v>
      </c>
      <c r="B11" s="1">
        <f>(B9/($K9-$J9))*-$J$11</f>
        <v>109014.87917895614</v>
      </c>
      <c r="C11" s="1">
        <f t="shared" ref="C11:I11" si="0">(C9/($K9-$J9))*-$J$11</f>
        <v>0</v>
      </c>
      <c r="D11" s="1">
        <f t="shared" si="0"/>
        <v>326.4701410695821</v>
      </c>
      <c r="E11" s="1">
        <f t="shared" si="0"/>
        <v>23637.439004395037</v>
      </c>
      <c r="G11" s="1">
        <f t="shared" si="0"/>
        <v>28057.419529955321</v>
      </c>
      <c r="H11" s="1">
        <f t="shared" si="0"/>
        <v>53857.66483946384</v>
      </c>
      <c r="I11" s="1">
        <f t="shared" si="0"/>
        <v>97731.867306160071</v>
      </c>
      <c r="J11" s="1">
        <f>-J9</f>
        <v>-312625.74</v>
      </c>
      <c r="K11" s="1">
        <v>0</v>
      </c>
    </row>
    <row r="12" spans="1:11" x14ac:dyDescent="0.2">
      <c r="A12" t="s">
        <v>4</v>
      </c>
      <c r="B12" s="1">
        <f>+B9+B11</f>
        <v>1007676.8291789561</v>
      </c>
      <c r="C12" s="1">
        <f t="shared" ref="C12:J12" si="1">+C9+C11</f>
        <v>0</v>
      </c>
      <c r="D12" s="1">
        <f t="shared" si="1"/>
        <v>3017.720141069582</v>
      </c>
      <c r="E12" s="1">
        <f t="shared" si="1"/>
        <v>218492.18900439504</v>
      </c>
      <c r="G12" s="1">
        <f t="shared" si="1"/>
        <v>259348.1895299553</v>
      </c>
      <c r="H12" s="1">
        <f t="shared" si="1"/>
        <v>497832.23483946384</v>
      </c>
      <c r="I12" s="1">
        <f t="shared" si="1"/>
        <v>903382.53730616008</v>
      </c>
      <c r="J12" s="1">
        <f t="shared" si="1"/>
        <v>0</v>
      </c>
      <c r="K12" s="1">
        <f>SUM(B12:J12)</f>
        <v>2889749.7</v>
      </c>
    </row>
    <row r="14" spans="1:11" x14ac:dyDescent="0.2">
      <c r="A14" t="s">
        <v>5</v>
      </c>
      <c r="B14" s="1">
        <f>B$9/($K$9-$J$9-$I$9)*-I14</f>
        <v>458282.67191739683</v>
      </c>
      <c r="C14" s="1">
        <f t="shared" ref="C14:H14" si="2">C$9/($K$9-$J$9-$I$9)*-$I$14</f>
        <v>0</v>
      </c>
      <c r="D14" s="1">
        <f t="shared" si="2"/>
        <v>1372.4329162903739</v>
      </c>
      <c r="E14" s="1">
        <f t="shared" si="2"/>
        <v>99368.350318822748</v>
      </c>
      <c r="G14" s="1">
        <f t="shared" si="2"/>
        <v>117949.30459160096</v>
      </c>
      <c r="H14" s="1">
        <f t="shared" si="2"/>
        <v>226409.77756204913</v>
      </c>
      <c r="I14" s="1">
        <f>-I12</f>
        <v>-903382.53730616008</v>
      </c>
      <c r="K14" s="1">
        <v>0</v>
      </c>
    </row>
    <row r="15" spans="1:11" x14ac:dyDescent="0.2">
      <c r="A15" t="s">
        <v>4</v>
      </c>
      <c r="B15" s="1">
        <f>+B12+B14</f>
        <v>1465959.5010963529</v>
      </c>
      <c r="C15" s="1">
        <f>+C12+C14</f>
        <v>0</v>
      </c>
      <c r="D15" s="1">
        <f>+D12+D14</f>
        <v>4390.1530573599557</v>
      </c>
      <c r="E15" s="1">
        <f>+E12+E14</f>
        <v>317860.53932321782</v>
      </c>
      <c r="G15" s="1">
        <f>+G12+G14</f>
        <v>377297.49412155629</v>
      </c>
      <c r="H15" s="1">
        <f>+H12+H14</f>
        <v>724242.01240151294</v>
      </c>
      <c r="I15" s="1">
        <f>+I12+I14</f>
        <v>0</v>
      </c>
      <c r="J15" s="1">
        <f>+J12+J14</f>
        <v>0</v>
      </c>
      <c r="K15" s="1">
        <f>SUM(B15:J15)</f>
        <v>2889749.6999999997</v>
      </c>
    </row>
    <row r="17" spans="1:11" x14ac:dyDescent="0.2">
      <c r="A17" t="s">
        <v>6</v>
      </c>
      <c r="B17" s="1">
        <f>B$9/($K$9-$J$9-$I$9-$H$9)*-$H$17</f>
        <v>490282.00881178083</v>
      </c>
      <c r="C17" s="1">
        <f>C$9/($K$9-$J$9-$I$9-$H$9)*-$H$17</f>
        <v>0</v>
      </c>
      <c r="D17" s="1">
        <f>D$9/($K$9-$J$9-$I$9-$H$9)*-$H$17</f>
        <v>1468.26229397462</v>
      </c>
      <c r="E17" s="1">
        <f>E$9/($K$9-$J$9-$I$9-$H$9)*-$H$17</f>
        <v>106306.69102716249</v>
      </c>
      <c r="G17" s="1">
        <f>G$9/($K$9-$J$9-$I$9-$H$9)*-$H$17</f>
        <v>126185.05026859496</v>
      </c>
      <c r="H17" s="1">
        <f>-H15</f>
        <v>-724242.01240151294</v>
      </c>
      <c r="K17" s="1">
        <v>0</v>
      </c>
    </row>
    <row r="18" spans="1:11" x14ac:dyDescent="0.2">
      <c r="A18" t="s">
        <v>4</v>
      </c>
      <c r="B18" s="1">
        <f>+B15+B17</f>
        <v>1956241.5099081337</v>
      </c>
      <c r="C18" s="1">
        <f>+C15+C17</f>
        <v>0</v>
      </c>
      <c r="D18" s="1">
        <f>+D15+D17</f>
        <v>5858.4153513345755</v>
      </c>
      <c r="E18" s="1">
        <f>+E15+E17</f>
        <v>424167.2303503803</v>
      </c>
      <c r="G18" s="1">
        <f>+G15+G17</f>
        <v>503482.54439015128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2889749.6999999997</v>
      </c>
    </row>
    <row r="20" spans="1:11" x14ac:dyDescent="0.2">
      <c r="A20" t="s">
        <v>7</v>
      </c>
      <c r="B20" s="1">
        <f>B$9/($K$9-$J$9-$I$9-$H$9-$G$9)*-$G$20</f>
        <v>412750.7058607036</v>
      </c>
      <c r="C20" s="1">
        <f>C$9/($K$9-$J$9-$I$9-$H$9-$G$9)*-$G$20</f>
        <v>0</v>
      </c>
      <c r="D20" s="1">
        <f>D$9/($K$9-$J$9-$I$9-$H$9-$G$9)*-$G$20</f>
        <v>1236.0769665919634</v>
      </c>
      <c r="E20" s="1">
        <f>E$9/($K$9-$J$9-$I$9-$H$9-$G$9)*-$G$20</f>
        <v>89495.761562855696</v>
      </c>
      <c r="G20" s="1">
        <f>-G18</f>
        <v>-503482.54439015128</v>
      </c>
      <c r="K20" s="1">
        <f>SUM(B20:J20)</f>
        <v>0</v>
      </c>
    </row>
    <row r="22" spans="1:11" x14ac:dyDescent="0.2">
      <c r="A22" t="s">
        <v>8</v>
      </c>
      <c r="B22" s="1">
        <f>+B20+B18</f>
        <v>2368992.2157688374</v>
      </c>
      <c r="C22" s="1">
        <f t="shared" ref="C22:K22" si="3">+C20+C18</f>
        <v>0</v>
      </c>
      <c r="D22" s="1">
        <f t="shared" si="3"/>
        <v>7094.4923179265388</v>
      </c>
      <c r="E22" s="1">
        <f t="shared" si="3"/>
        <v>513662.99191323598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2889749.6999999997</v>
      </c>
    </row>
    <row r="27" spans="1:11" x14ac:dyDescent="0.2">
      <c r="A27" t="s">
        <v>9</v>
      </c>
      <c r="B27" s="1">
        <f>+B9</f>
        <v>898661.95</v>
      </c>
    </row>
    <row r="28" spans="1:11" x14ac:dyDescent="0.2">
      <c r="A28" t="s">
        <v>10</v>
      </c>
      <c r="B28" s="1">
        <f>+B22-B27</f>
        <v>1470330.2657688374</v>
      </c>
    </row>
    <row r="29" spans="1:11" x14ac:dyDescent="0.2">
      <c r="A29" s="29" t="s">
        <v>170</v>
      </c>
      <c r="B29" s="1">
        <v>177</v>
      </c>
    </row>
    <row r="30" spans="1:11" x14ac:dyDescent="0.2">
      <c r="A30" t="s">
        <v>11</v>
      </c>
      <c r="B30" s="1">
        <f>+B28/B29</f>
        <v>8306.9506540612292</v>
      </c>
    </row>
  </sheetData>
  <phoneticPr fontId="0" type="noConversion"/>
  <pageMargins left="0.4" right="0.55000000000000004" top="1" bottom="0.6" header="0.5" footer="0.5"/>
  <pageSetup scale="10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2529109.3199999998</v>
      </c>
      <c r="C9" s="1">
        <f>'Master Expend Table'!C36</f>
        <v>0</v>
      </c>
      <c r="D9" s="1">
        <f>'Master Expend Table'!D36</f>
        <v>75335.67</v>
      </c>
      <c r="E9" s="1">
        <f>'Master Expend Table'!E36</f>
        <v>0</v>
      </c>
      <c r="G9" s="1">
        <f>'Master Expend Table'!G36</f>
        <v>550464.31999999995</v>
      </c>
      <c r="H9" s="1">
        <f>'Master Expend Table'!H36</f>
        <v>1045897.82</v>
      </c>
      <c r="I9" s="1">
        <f>'Master Expend Table'!I36</f>
        <v>939760.45</v>
      </c>
      <c r="J9" s="1">
        <f>'Master Expend Table'!J36</f>
        <v>478261.81</v>
      </c>
      <c r="K9" s="1">
        <f>SUM(B9:J9)</f>
        <v>5618829.3899999997</v>
      </c>
    </row>
    <row r="11" spans="1:11" x14ac:dyDescent="0.2">
      <c r="A11" t="s">
        <v>3</v>
      </c>
      <c r="B11" s="1">
        <f>(B9/($K9-$J9))*-$J$11</f>
        <v>235300.16525355534</v>
      </c>
      <c r="C11" s="1">
        <f t="shared" ref="C11:I11" si="0">(C9/($K9-$J9))*-$J$11</f>
        <v>0</v>
      </c>
      <c r="D11" s="1">
        <f t="shared" si="0"/>
        <v>7008.9874962333824</v>
      </c>
      <c r="E11" s="1">
        <f t="shared" si="0"/>
        <v>0</v>
      </c>
      <c r="G11" s="1">
        <f t="shared" si="0"/>
        <v>51213.42301731187</v>
      </c>
      <c r="H11" s="1">
        <f t="shared" si="0"/>
        <v>97306.956222965193</v>
      </c>
      <c r="I11" s="1">
        <f t="shared" si="0"/>
        <v>87432.278009934162</v>
      </c>
      <c r="J11" s="1">
        <f>-J9</f>
        <v>-478261.81</v>
      </c>
      <c r="K11" s="1">
        <v>0</v>
      </c>
    </row>
    <row r="12" spans="1:11" x14ac:dyDescent="0.2">
      <c r="A12" t="s">
        <v>4</v>
      </c>
      <c r="B12" s="1">
        <f>+B9+B11</f>
        <v>2764409.4852535552</v>
      </c>
      <c r="C12" s="1">
        <f t="shared" ref="C12:J12" si="1">+C9+C11</f>
        <v>0</v>
      </c>
      <c r="D12" s="1">
        <f t="shared" si="1"/>
        <v>82344.657496233383</v>
      </c>
      <c r="E12" s="1">
        <f t="shared" si="1"/>
        <v>0</v>
      </c>
      <c r="G12" s="1">
        <f t="shared" si="1"/>
        <v>601677.74301731179</v>
      </c>
      <c r="H12" s="1">
        <f t="shared" si="1"/>
        <v>1143204.7762229652</v>
      </c>
      <c r="I12" s="1">
        <f t="shared" si="1"/>
        <v>1027192.7280099341</v>
      </c>
      <c r="J12" s="1">
        <f t="shared" si="1"/>
        <v>0</v>
      </c>
      <c r="K12" s="1">
        <f>SUM(B12:J12)</f>
        <v>5618829.3899999987</v>
      </c>
    </row>
    <row r="14" spans="1:11" x14ac:dyDescent="0.2">
      <c r="A14" t="s">
        <v>5</v>
      </c>
      <c r="B14" s="1">
        <f>B$9/($K$9-$J$9-$I$9)*-I14</f>
        <v>618424.65541762428</v>
      </c>
      <c r="C14" s="1">
        <f t="shared" ref="C14:H14" si="2">C$9/($K$9-$J$9-$I$9)*-$I$14</f>
        <v>0</v>
      </c>
      <c r="D14" s="1">
        <f t="shared" si="2"/>
        <v>18421.281908211804</v>
      </c>
      <c r="E14" s="1">
        <f t="shared" si="2"/>
        <v>0</v>
      </c>
      <c r="G14" s="1">
        <f t="shared" si="2"/>
        <v>134601.02523986463</v>
      </c>
      <c r="H14" s="1">
        <f t="shared" si="2"/>
        <v>255745.76544423332</v>
      </c>
      <c r="I14" s="1">
        <f>-I12</f>
        <v>-1027192.7280099341</v>
      </c>
      <c r="K14" s="1">
        <v>0</v>
      </c>
    </row>
    <row r="15" spans="1:11" x14ac:dyDescent="0.2">
      <c r="A15" t="s">
        <v>4</v>
      </c>
      <c r="B15" s="1">
        <f>+B12+B14</f>
        <v>3382834.1406711796</v>
      </c>
      <c r="C15" s="1">
        <f>+C12+C14</f>
        <v>0</v>
      </c>
      <c r="D15" s="1">
        <f>+D12+D14</f>
        <v>100765.93940444519</v>
      </c>
      <c r="E15" s="1">
        <f>+E12+E14</f>
        <v>0</v>
      </c>
      <c r="G15" s="1">
        <f>+G12+G14</f>
        <v>736278.76825717639</v>
      </c>
      <c r="H15" s="1">
        <f>+H12+H14</f>
        <v>1398950.5416671985</v>
      </c>
      <c r="I15" s="1">
        <f>+I12+I14</f>
        <v>0</v>
      </c>
      <c r="J15" s="1">
        <f>+J12+J14</f>
        <v>0</v>
      </c>
      <c r="K15" s="1">
        <f>SUM(B15:J15)</f>
        <v>5618829.3899999997</v>
      </c>
    </row>
    <row r="17" spans="1:11" x14ac:dyDescent="0.2">
      <c r="A17" t="s">
        <v>6</v>
      </c>
      <c r="B17" s="1">
        <f>B$9/($K$9-$J$9-$I$9-$H$9)*-$H$17</f>
        <v>1121458.1800925238</v>
      </c>
      <c r="C17" s="1">
        <f>C$9/($K$9-$J$9-$I$9-$H$9)*-$H$17</f>
        <v>0</v>
      </c>
      <c r="D17" s="1">
        <f>D$9/($K$9-$J$9-$I$9-$H$9)*-$H$17</f>
        <v>33405.358442256242</v>
      </c>
      <c r="E17" s="1">
        <f>E$9/($K$9-$J$9-$I$9-$H$9)*-$H$17</f>
        <v>0</v>
      </c>
      <c r="G17" s="1">
        <f>G$9/($K$9-$J$9-$I$9-$H$9)*-$H$17</f>
        <v>244087.00313241844</v>
      </c>
      <c r="H17" s="1">
        <f>-H15</f>
        <v>-1398950.5416671985</v>
      </c>
      <c r="K17" s="1">
        <v>0</v>
      </c>
    </row>
    <row r="18" spans="1:11" x14ac:dyDescent="0.2">
      <c r="A18" t="s">
        <v>4</v>
      </c>
      <c r="B18" s="1">
        <f>+B15+B17</f>
        <v>4504292.3207637034</v>
      </c>
      <c r="C18" s="1">
        <f>+C15+C17</f>
        <v>0</v>
      </c>
      <c r="D18" s="1">
        <f>+D15+D17</f>
        <v>134171.29784670143</v>
      </c>
      <c r="E18" s="1">
        <f>+E15+E17</f>
        <v>0</v>
      </c>
      <c r="G18" s="1">
        <f>+G15+G17</f>
        <v>980365.77138959477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5618829.3899999987</v>
      </c>
    </row>
    <row r="20" spans="1:11" x14ac:dyDescent="0.2">
      <c r="A20" t="s">
        <v>7</v>
      </c>
      <c r="B20" s="1">
        <f>B$9/($K$9-$J$9-$I$9-$H$9-$G$9)*-$G$20</f>
        <v>952007.90147247957</v>
      </c>
      <c r="C20" s="1">
        <f>C$9/($K$9-$J$9-$I$9-$H$9-$G$9)*-$G$20</f>
        <v>0</v>
      </c>
      <c r="D20" s="1">
        <f>D$9/($K$9-$J$9-$I$9-$H$9-$G$9)*-$G$20</f>
        <v>28357.869917115026</v>
      </c>
      <c r="E20" s="1">
        <f>E$9/($K$9-$J$9-$I$9-$H$9-$G$9)*-$G$20</f>
        <v>0</v>
      </c>
      <c r="G20" s="1">
        <f>-G18</f>
        <v>-980365.77138959477</v>
      </c>
      <c r="K20" s="1">
        <f>SUM(B20:J20)</f>
        <v>0</v>
      </c>
    </row>
    <row r="22" spans="1:11" x14ac:dyDescent="0.2">
      <c r="A22" t="s">
        <v>8</v>
      </c>
      <c r="B22" s="1">
        <f>+B20+B18</f>
        <v>5456300.2222361825</v>
      </c>
      <c r="C22" s="1">
        <f t="shared" ref="C22:K22" si="3">+C20+C18</f>
        <v>0</v>
      </c>
      <c r="D22" s="1">
        <f t="shared" si="3"/>
        <v>162529.16776381645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5618829.3899999987</v>
      </c>
    </row>
    <row r="27" spans="1:11" x14ac:dyDescent="0.2">
      <c r="A27" t="s">
        <v>9</v>
      </c>
      <c r="B27" s="1">
        <f>+B9</f>
        <v>2529109.3199999998</v>
      </c>
    </row>
    <row r="28" spans="1:11" x14ac:dyDescent="0.2">
      <c r="A28" t="s">
        <v>10</v>
      </c>
      <c r="B28" s="1">
        <f>+B22-B27</f>
        <v>2927190.9022361827</v>
      </c>
    </row>
    <row r="29" spans="1:11" x14ac:dyDescent="0.2">
      <c r="A29" s="29" t="s">
        <v>170</v>
      </c>
      <c r="B29" s="1">
        <v>526</v>
      </c>
    </row>
    <row r="30" spans="1:11" x14ac:dyDescent="0.2">
      <c r="A30" t="s">
        <v>11</v>
      </c>
      <c r="B30" s="1">
        <f>+B28/B29</f>
        <v>5565.0017152779137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12147319.130000001</v>
      </c>
      <c r="C9" s="1">
        <f>'Master Expend Table'!C38</f>
        <v>136403.85999999999</v>
      </c>
      <c r="D9" s="1">
        <f>'Master Expend Table'!D38</f>
        <v>223722.68</v>
      </c>
      <c r="E9" s="1">
        <f>'Master Expend Table'!E38</f>
        <v>342252.25</v>
      </c>
      <c r="G9" s="1">
        <f>'Master Expend Table'!G38</f>
        <v>3639730.19</v>
      </c>
      <c r="H9" s="1">
        <f>'Master Expend Table'!H38</f>
        <v>3050098.2</v>
      </c>
      <c r="I9" s="1">
        <f>'Master Expend Table'!I38</f>
        <v>3279365.36</v>
      </c>
      <c r="J9" s="1">
        <f>'Master Expend Table'!J38</f>
        <v>2627914.46</v>
      </c>
      <c r="K9" s="1">
        <f>SUM(B9:J9)</f>
        <v>25446806.129999999</v>
      </c>
    </row>
    <row r="11" spans="1:11" x14ac:dyDescent="0.2">
      <c r="A11" t="s">
        <v>3</v>
      </c>
      <c r="B11" s="1">
        <f>(B9/($K9-$J9))*-$J$11</f>
        <v>1398933.6578484937</v>
      </c>
      <c r="C11" s="1">
        <f t="shared" ref="C11:I11" si="0">(C9/($K9-$J9))*-$J$11</f>
        <v>15708.811859827527</v>
      </c>
      <c r="D11" s="1">
        <f t="shared" si="0"/>
        <v>25764.794991112416</v>
      </c>
      <c r="E11" s="1">
        <f t="shared" si="0"/>
        <v>39415.132415260508</v>
      </c>
      <c r="G11" s="1">
        <f t="shared" si="0"/>
        <v>419165.82694393187</v>
      </c>
      <c r="H11" s="1">
        <f t="shared" si="0"/>
        <v>351261.45827397116</v>
      </c>
      <c r="I11" s="1">
        <f t="shared" si="0"/>
        <v>377664.77766740305</v>
      </c>
      <c r="J11" s="1">
        <f>-J9</f>
        <v>-2627914.46</v>
      </c>
      <c r="K11" s="1">
        <v>0</v>
      </c>
    </row>
    <row r="12" spans="1:11" x14ac:dyDescent="0.2">
      <c r="A12" t="s">
        <v>4</v>
      </c>
      <c r="B12" s="1">
        <f>+B9+B11</f>
        <v>13546252.787848495</v>
      </c>
      <c r="C12" s="1">
        <f t="shared" ref="C12:J12" si="1">+C9+C11</f>
        <v>152112.6718598275</v>
      </c>
      <c r="D12" s="1">
        <f t="shared" si="1"/>
        <v>249487.47499111242</v>
      </c>
      <c r="E12" s="1">
        <f t="shared" si="1"/>
        <v>381667.38241526054</v>
      </c>
      <c r="G12" s="1">
        <f t="shared" si="1"/>
        <v>4058896.0169439316</v>
      </c>
      <c r="H12" s="1">
        <f t="shared" si="1"/>
        <v>3401359.6582739712</v>
      </c>
      <c r="I12" s="1">
        <f t="shared" si="1"/>
        <v>3657030.1376674031</v>
      </c>
      <c r="J12" s="1">
        <f t="shared" si="1"/>
        <v>0</v>
      </c>
      <c r="K12" s="1">
        <f>SUM(B12:J12)</f>
        <v>25446806.130000003</v>
      </c>
    </row>
    <row r="14" spans="1:11" x14ac:dyDescent="0.2">
      <c r="A14" t="s">
        <v>5</v>
      </c>
      <c r="B14" s="1">
        <f>B$9/($K$9-$J$9-$I$9)*-I14</f>
        <v>2273499.9531456805</v>
      </c>
      <c r="C14" s="1">
        <f t="shared" ref="C14:H14" si="2">C$9/($K$9-$J$9-$I$9)*-$I$14</f>
        <v>25529.432955540524</v>
      </c>
      <c r="D14" s="1">
        <f t="shared" si="2"/>
        <v>41872.078691129762</v>
      </c>
      <c r="E14" s="1">
        <f t="shared" si="2"/>
        <v>64056.148193004912</v>
      </c>
      <c r="G14" s="1">
        <f t="shared" si="2"/>
        <v>681214.21096046548</v>
      </c>
      <c r="H14" s="1">
        <f t="shared" si="2"/>
        <v>570858.31372158264</v>
      </c>
      <c r="I14" s="1">
        <f>-I12</f>
        <v>-3657030.1376674031</v>
      </c>
      <c r="K14" s="1">
        <v>0</v>
      </c>
    </row>
    <row r="15" spans="1:11" x14ac:dyDescent="0.2">
      <c r="A15" t="s">
        <v>4</v>
      </c>
      <c r="B15" s="1">
        <f>+B12+B14</f>
        <v>15819752.740994176</v>
      </c>
      <c r="C15" s="1">
        <f>+C12+C14</f>
        <v>177642.10481536802</v>
      </c>
      <c r="D15" s="1">
        <f>+D12+D14</f>
        <v>291359.55368224217</v>
      </c>
      <c r="E15" s="1">
        <f>+E12+E14</f>
        <v>445723.53060826543</v>
      </c>
      <c r="G15" s="1">
        <f>+G12+G14</f>
        <v>4740110.2279043971</v>
      </c>
      <c r="H15" s="1">
        <f>+H12+H14</f>
        <v>3972217.9719955539</v>
      </c>
      <c r="I15" s="1">
        <f>+I12+I14</f>
        <v>0</v>
      </c>
      <c r="J15" s="1">
        <f>+J12+J14</f>
        <v>0</v>
      </c>
      <c r="K15" s="1">
        <f>SUM(B15:J15)</f>
        <v>25446806.130000003</v>
      </c>
    </row>
    <row r="17" spans="1:11" x14ac:dyDescent="0.2">
      <c r="A17" t="s">
        <v>6</v>
      </c>
      <c r="B17" s="1">
        <f>B$9/($K$9-$J$9-$I$9-$H$9)*-$H$17</f>
        <v>2926226.3698817506</v>
      </c>
      <c r="C17" s="1">
        <f>C$9/($K$9-$J$9-$I$9-$H$9)*-$H$17</f>
        <v>32858.984588615029</v>
      </c>
      <c r="D17" s="1">
        <f>D$9/($K$9-$J$9-$I$9-$H$9)*-$H$17</f>
        <v>53893.636838749662</v>
      </c>
      <c r="E17" s="1">
        <f>E$9/($K$9-$J$9-$I$9-$H$9)*-$H$17</f>
        <v>82446.797386590217</v>
      </c>
      <c r="G17" s="1">
        <f>G$9/($K$9-$J$9-$I$9-$H$9)*-$H$17</f>
        <v>876792.18329984834</v>
      </c>
      <c r="H17" s="1">
        <f>-H15</f>
        <v>-3972217.9719955539</v>
      </c>
      <c r="K17" s="1">
        <v>0</v>
      </c>
    </row>
    <row r="18" spans="1:11" x14ac:dyDescent="0.2">
      <c r="A18" t="s">
        <v>4</v>
      </c>
      <c r="B18" s="1">
        <f>+B15+B17</f>
        <v>18745979.110875927</v>
      </c>
      <c r="C18" s="1">
        <f>+C15+C17</f>
        <v>210501.08940398303</v>
      </c>
      <c r="D18" s="1">
        <f>+D15+D17</f>
        <v>345253.1905209918</v>
      </c>
      <c r="E18" s="1">
        <f>+E15+E17</f>
        <v>528170.32799485559</v>
      </c>
      <c r="G18" s="1">
        <f>+G15+G17</f>
        <v>5616902.4112042449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25446806.130000003</v>
      </c>
    </row>
    <row r="20" spans="1:11" x14ac:dyDescent="0.2">
      <c r="A20" t="s">
        <v>7</v>
      </c>
      <c r="B20" s="1">
        <f>B$9/($K$9-$J$9-$I$9-$H$9-$G$9)*-$G$20</f>
        <v>5309876.2738046106</v>
      </c>
      <c r="C20" s="1">
        <f>C$9/($K$9-$J$9-$I$9-$H$9-$G$9)*-$G$20</f>
        <v>59625.305972295275</v>
      </c>
      <c r="D20" s="1">
        <f>D$9/($K$9-$J$9-$I$9-$H$9-$G$9)*-$G$20</f>
        <v>97794.397078952941</v>
      </c>
      <c r="E20" s="1">
        <f>E$9/($K$9-$J$9-$I$9-$H$9-$G$9)*-$G$20</f>
        <v>149606.43434838645</v>
      </c>
      <c r="G20" s="1">
        <f>-G18</f>
        <v>-5616902.4112042449</v>
      </c>
      <c r="K20" s="1">
        <f>SUM(B20:J20)</f>
        <v>0</v>
      </c>
    </row>
    <row r="22" spans="1:11" x14ac:dyDescent="0.2">
      <c r="A22" t="s">
        <v>8</v>
      </c>
      <c r="B22" s="1">
        <f>+B20+B18</f>
        <v>24055855.384680539</v>
      </c>
      <c r="C22" s="1">
        <f t="shared" ref="C22:K22" si="3">+C20+C18</f>
        <v>270126.39537627832</v>
      </c>
      <c r="D22" s="1">
        <f t="shared" si="3"/>
        <v>443047.58759994473</v>
      </c>
      <c r="E22" s="1">
        <f t="shared" si="3"/>
        <v>677776.76234324207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25446806.130000003</v>
      </c>
    </row>
    <row r="27" spans="1:11" x14ac:dyDescent="0.2">
      <c r="A27" t="s">
        <v>9</v>
      </c>
      <c r="B27" s="1">
        <f>B9</f>
        <v>12147319.130000001</v>
      </c>
    </row>
    <row r="28" spans="1:11" x14ac:dyDescent="0.2">
      <c r="A28" t="s">
        <v>10</v>
      </c>
      <c r="B28" s="1">
        <f>+B22-B27</f>
        <v>11908536.254680539</v>
      </c>
    </row>
    <row r="29" spans="1:11" x14ac:dyDescent="0.2">
      <c r="A29" s="29" t="s">
        <v>170</v>
      </c>
      <c r="B29" s="1">
        <v>1968</v>
      </c>
    </row>
    <row r="30" spans="1:11" x14ac:dyDescent="0.2">
      <c r="A30" t="s">
        <v>11</v>
      </c>
      <c r="B30" s="1">
        <f>+B28/B29</f>
        <v>6051.0854952645013</v>
      </c>
    </row>
  </sheetData>
  <phoneticPr fontId="0" type="noConversion"/>
  <pageMargins left="0.51" right="0.55000000000000004" top="1" bottom="0.62" header="0.5" footer="0.5"/>
  <pageSetup scale="10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3838966.6</v>
      </c>
      <c r="C9" s="1">
        <f>'Master Expend Table'!C39</f>
        <v>0</v>
      </c>
      <c r="D9" s="1">
        <f>'Master Expend Table'!D39</f>
        <v>425219.65</v>
      </c>
      <c r="E9" s="1">
        <f>'Master Expend Table'!E39</f>
        <v>0</v>
      </c>
      <c r="G9" s="1">
        <f>'Master Expend Table'!G39</f>
        <v>1126133.72</v>
      </c>
      <c r="H9" s="1">
        <f>'Master Expend Table'!H39</f>
        <v>1235395.4099999999</v>
      </c>
      <c r="I9" s="1">
        <f>'Master Expend Table'!I39</f>
        <v>1577131.8</v>
      </c>
      <c r="J9" s="1">
        <f>'Master Expend Table'!J39</f>
        <v>620855.02</v>
      </c>
      <c r="K9" s="1">
        <f>SUM(B9:J9)</f>
        <v>8823702.1999999993</v>
      </c>
    </row>
    <row r="11" spans="1:11" x14ac:dyDescent="0.2">
      <c r="A11" t="s">
        <v>3</v>
      </c>
      <c r="B11" s="1">
        <f>(B9/($K9-$J9))*-$J$11</f>
        <v>290562.73180775414</v>
      </c>
      <c r="C11" s="1">
        <f t="shared" ref="C11:I11" si="0">(C9/($K9-$J9))*-$J$11</f>
        <v>0</v>
      </c>
      <c r="D11" s="1">
        <f t="shared" si="0"/>
        <v>32183.917182904661</v>
      </c>
      <c r="E11" s="1">
        <f t="shared" si="0"/>
        <v>0</v>
      </c>
      <c r="G11" s="1">
        <f t="shared" si="0"/>
        <v>85234.523807534162</v>
      </c>
      <c r="H11" s="1">
        <f t="shared" si="0"/>
        <v>93504.29492988046</v>
      </c>
      <c r="I11" s="1">
        <f t="shared" si="0"/>
        <v>119369.55227192666</v>
      </c>
      <c r="J11" s="1">
        <f>-J9</f>
        <v>-620855.02</v>
      </c>
      <c r="K11" s="1">
        <v>0</v>
      </c>
    </row>
    <row r="12" spans="1:11" x14ac:dyDescent="0.2">
      <c r="A12" t="s">
        <v>4</v>
      </c>
      <c r="B12" s="1">
        <f>+B9+B11</f>
        <v>4129529.331807754</v>
      </c>
      <c r="C12" s="1">
        <f t="shared" ref="C12:J12" si="1">+C9+C11</f>
        <v>0</v>
      </c>
      <c r="D12" s="1">
        <f t="shared" si="1"/>
        <v>457403.56718290469</v>
      </c>
      <c r="E12" s="1">
        <f t="shared" si="1"/>
        <v>0</v>
      </c>
      <c r="G12" s="1">
        <f t="shared" si="1"/>
        <v>1211368.2438075342</v>
      </c>
      <c r="H12" s="1">
        <f t="shared" si="1"/>
        <v>1328899.7049298803</v>
      </c>
      <c r="I12" s="1">
        <f t="shared" si="1"/>
        <v>1696501.3522719266</v>
      </c>
      <c r="J12" s="1">
        <f t="shared" si="1"/>
        <v>0</v>
      </c>
      <c r="K12" s="1">
        <f>SUM(B12:J12)</f>
        <v>8823702.1999999993</v>
      </c>
    </row>
    <row r="14" spans="1:11" x14ac:dyDescent="0.2">
      <c r="A14" t="s">
        <v>5</v>
      </c>
      <c r="B14" s="1">
        <f>B$9/($K$9-$J$9-$I$9)*-I14</f>
        <v>982959.8246682852</v>
      </c>
      <c r="C14" s="1">
        <f t="shared" ref="C14:H14" si="2">C$9/($K$9-$J$9-$I$9)*-$I$14</f>
        <v>0</v>
      </c>
      <c r="D14" s="1">
        <f t="shared" si="2"/>
        <v>108876.65253704203</v>
      </c>
      <c r="E14" s="1">
        <f t="shared" si="2"/>
        <v>0</v>
      </c>
      <c r="G14" s="1">
        <f t="shared" si="2"/>
        <v>288344.31744320039</v>
      </c>
      <c r="H14" s="1">
        <f t="shared" si="2"/>
        <v>316320.55762339901</v>
      </c>
      <c r="I14" s="1">
        <f>-I12</f>
        <v>-1696501.3522719266</v>
      </c>
      <c r="K14" s="1">
        <v>0</v>
      </c>
    </row>
    <row r="15" spans="1:11" x14ac:dyDescent="0.2">
      <c r="A15" t="s">
        <v>4</v>
      </c>
      <c r="B15" s="1">
        <f>+B12+B14</f>
        <v>5112489.1564760394</v>
      </c>
      <c r="C15" s="1">
        <f>+C12+C14</f>
        <v>0</v>
      </c>
      <c r="D15" s="1">
        <f>+D12+D14</f>
        <v>566280.21971994673</v>
      </c>
      <c r="E15" s="1">
        <f>+E12+E14</f>
        <v>0</v>
      </c>
      <c r="G15" s="1">
        <f>+G12+G14</f>
        <v>1499712.5612507346</v>
      </c>
      <c r="H15" s="1">
        <f>+H12+H14</f>
        <v>1645220.2625532793</v>
      </c>
      <c r="I15" s="1">
        <f>+I12+I14</f>
        <v>0</v>
      </c>
      <c r="J15" s="1">
        <f>+J12+J14</f>
        <v>0</v>
      </c>
      <c r="K15" s="1">
        <f>SUM(B15:J15)</f>
        <v>8823702.1999999993</v>
      </c>
    </row>
    <row r="17" spans="1:11" x14ac:dyDescent="0.2">
      <c r="A17" t="s">
        <v>6</v>
      </c>
      <c r="B17" s="1">
        <f>B$9/($K$9-$J$9-$I$9-$H$9)*-$H$17</f>
        <v>1171719.9855921115</v>
      </c>
      <c r="C17" s="1">
        <f>C$9/($K$9-$J$9-$I$9-$H$9)*-$H$17</f>
        <v>0</v>
      </c>
      <c r="D17" s="1">
        <f>D$9/($K$9-$J$9-$I$9-$H$9)*-$H$17</f>
        <v>129784.50038390089</v>
      </c>
      <c r="E17" s="1">
        <f>E$9/($K$9-$J$9-$I$9-$H$9)*-$H$17</f>
        <v>0</v>
      </c>
      <c r="G17" s="1">
        <f>G$9/($K$9-$J$9-$I$9-$H$9)*-$H$17</f>
        <v>343715.7765772671</v>
      </c>
      <c r="H17" s="1">
        <f>-H15</f>
        <v>-1645220.2625532793</v>
      </c>
      <c r="K17" s="1">
        <v>0</v>
      </c>
    </row>
    <row r="18" spans="1:11" x14ac:dyDescent="0.2">
      <c r="A18" t="s">
        <v>4</v>
      </c>
      <c r="B18" s="1">
        <f>+B15+B17</f>
        <v>6284209.1420681514</v>
      </c>
      <c r="C18" s="1">
        <f>+C15+C17</f>
        <v>0</v>
      </c>
      <c r="D18" s="1">
        <f>+D15+D17</f>
        <v>696064.72010384756</v>
      </c>
      <c r="E18" s="1">
        <f>+E15+E17</f>
        <v>0</v>
      </c>
      <c r="G18" s="1">
        <f>+G15+G17</f>
        <v>1843428.3378280017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8823702.2000000011</v>
      </c>
    </row>
    <row r="20" spans="1:11" x14ac:dyDescent="0.2">
      <c r="A20" t="s">
        <v>7</v>
      </c>
      <c r="B20" s="1">
        <f>B$9/($K$9-$J$9-$I$9-$H$9-$G$9)*-$G$20</f>
        <v>1659603.8267360427</v>
      </c>
      <c r="C20" s="1">
        <f>C$9/($K$9-$J$9-$I$9-$H$9-$G$9)*-$G$20</f>
        <v>0</v>
      </c>
      <c r="D20" s="1">
        <f>D$9/($K$9-$J$9-$I$9-$H$9-$G$9)*-$G$20</f>
        <v>183824.51109195917</v>
      </c>
      <c r="E20" s="1">
        <f>E$9/($K$9-$J$9-$I$9-$H$9-$G$9)*-$G$20</f>
        <v>0</v>
      </c>
      <c r="G20" s="1">
        <f>-G18</f>
        <v>-1843428.3378280017</v>
      </c>
      <c r="K20" s="1">
        <f>SUM(B20:J20)</f>
        <v>0</v>
      </c>
    </row>
    <row r="22" spans="1:11" x14ac:dyDescent="0.2">
      <c r="A22" t="s">
        <v>8</v>
      </c>
      <c r="B22" s="1">
        <f>+B20+B18</f>
        <v>7943812.9688041937</v>
      </c>
      <c r="C22" s="1">
        <f t="shared" ref="C22:K22" si="3">+C20+C18</f>
        <v>0</v>
      </c>
      <c r="D22" s="1">
        <f t="shared" si="3"/>
        <v>879889.23119580676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8823702.2000000011</v>
      </c>
    </row>
    <row r="27" spans="1:11" x14ac:dyDescent="0.2">
      <c r="A27" t="s">
        <v>9</v>
      </c>
      <c r="B27" s="1">
        <f>+B9</f>
        <v>3838966.6</v>
      </c>
    </row>
    <row r="28" spans="1:11" x14ac:dyDescent="0.2">
      <c r="A28" t="s">
        <v>10</v>
      </c>
      <c r="B28" s="1">
        <f>+B22-B27</f>
        <v>4104846.3688041936</v>
      </c>
    </row>
    <row r="29" spans="1:11" x14ac:dyDescent="0.2">
      <c r="A29" s="29" t="s">
        <v>170</v>
      </c>
      <c r="B29" s="1">
        <v>798</v>
      </c>
    </row>
    <row r="30" spans="1:11" x14ac:dyDescent="0.2">
      <c r="A30" t="s">
        <v>11</v>
      </c>
      <c r="B30" s="1">
        <f>+B28/B29</f>
        <v>5143.9177553937261</v>
      </c>
    </row>
  </sheetData>
  <phoneticPr fontId="0" type="noConversion"/>
  <pageMargins left="0.56000000000000005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16648170.07</v>
      </c>
      <c r="C9" s="1">
        <f>'Master Expend Table'!C40</f>
        <v>0</v>
      </c>
      <c r="D9" s="1">
        <f>'Master Expend Table'!D40</f>
        <v>1802483.18</v>
      </c>
      <c r="E9" s="1">
        <f>'Master Expend Table'!E40</f>
        <v>0</v>
      </c>
      <c r="G9" s="1">
        <f>'Master Expend Table'!G40</f>
        <v>3177056.62</v>
      </c>
      <c r="H9" s="1">
        <f>'Master Expend Table'!H40</f>
        <v>3627282.92</v>
      </c>
      <c r="I9" s="1">
        <f>'Master Expend Table'!I40</f>
        <v>4374712.78</v>
      </c>
      <c r="J9" s="1">
        <f>'Master Expend Table'!J40</f>
        <v>3460354.64</v>
      </c>
      <c r="K9" s="1">
        <f>SUM(B9:J9)</f>
        <v>33090060.210000001</v>
      </c>
    </row>
    <row r="11" spans="1:11" x14ac:dyDescent="0.2">
      <c r="A11" t="s">
        <v>3</v>
      </c>
      <c r="B11" s="1">
        <f>(B9/($K9-$J9))*-$J$11</f>
        <v>1944284.340360174</v>
      </c>
      <c r="C11" s="1">
        <f t="shared" ref="C11:I11" si="0">(C9/($K9-$J9))*-$J$11</f>
        <v>0</v>
      </c>
      <c r="D11" s="1">
        <f t="shared" si="0"/>
        <v>210506.00792166276</v>
      </c>
      <c r="E11" s="1">
        <f t="shared" si="0"/>
        <v>0</v>
      </c>
      <c r="G11" s="1">
        <f t="shared" si="0"/>
        <v>371037.86234348721</v>
      </c>
      <c r="H11" s="1">
        <f t="shared" si="0"/>
        <v>423618.29256660916</v>
      </c>
      <c r="I11" s="1">
        <f t="shared" si="0"/>
        <v>510908.1368080668</v>
      </c>
      <c r="J11" s="1">
        <f>-J9</f>
        <v>-3460354.64</v>
      </c>
      <c r="K11" s="1">
        <v>0</v>
      </c>
    </row>
    <row r="12" spans="1:11" x14ac:dyDescent="0.2">
      <c r="A12" t="s">
        <v>4</v>
      </c>
      <c r="B12" s="1">
        <f>+B9+B11</f>
        <v>18592454.410360172</v>
      </c>
      <c r="C12" s="1">
        <f t="shared" ref="C12:J12" si="1">+C9+C11</f>
        <v>0</v>
      </c>
      <c r="D12" s="1">
        <f t="shared" si="1"/>
        <v>2012989.1879216628</v>
      </c>
      <c r="E12" s="1">
        <f t="shared" si="1"/>
        <v>0</v>
      </c>
      <c r="G12" s="1">
        <f t="shared" si="1"/>
        <v>3548094.4823434874</v>
      </c>
      <c r="H12" s="1">
        <f t="shared" si="1"/>
        <v>4050901.212566609</v>
      </c>
      <c r="I12" s="1">
        <f t="shared" si="1"/>
        <v>4885620.9168080669</v>
      </c>
      <c r="J12" s="1">
        <f t="shared" si="1"/>
        <v>0</v>
      </c>
      <c r="K12" s="1">
        <f>SUM(B12:J12)</f>
        <v>33090060.210000001</v>
      </c>
    </row>
    <row r="14" spans="1:11" x14ac:dyDescent="0.2">
      <c r="A14" t="s">
        <v>5</v>
      </c>
      <c r="B14" s="1">
        <f>B$9/($K$9-$J$9-$I$9)*-I14</f>
        <v>3220616.5567695661</v>
      </c>
      <c r="C14" s="1">
        <f t="shared" ref="C14:H14" si="2">C$9/($K$9-$J$9-$I$9)*-$I$14</f>
        <v>0</v>
      </c>
      <c r="D14" s="1">
        <f t="shared" si="2"/>
        <v>348693.40884902782</v>
      </c>
      <c r="E14" s="1">
        <f t="shared" si="2"/>
        <v>0</v>
      </c>
      <c r="G14" s="1">
        <f t="shared" si="2"/>
        <v>614606.95734989911</v>
      </c>
      <c r="H14" s="1">
        <f t="shared" si="2"/>
        <v>701703.99383957393</v>
      </c>
      <c r="I14" s="1">
        <f>-I12</f>
        <v>-4885620.9168080669</v>
      </c>
      <c r="K14" s="1">
        <v>0</v>
      </c>
    </row>
    <row r="15" spans="1:11" x14ac:dyDescent="0.2">
      <c r="A15" t="s">
        <v>4</v>
      </c>
      <c r="B15" s="1">
        <f>+B12+B14</f>
        <v>21813070.967129737</v>
      </c>
      <c r="C15" s="1">
        <f>+C12+C14</f>
        <v>0</v>
      </c>
      <c r="D15" s="1">
        <f>+D12+D14</f>
        <v>2361682.5967706908</v>
      </c>
      <c r="E15" s="1">
        <f>+E12+E14</f>
        <v>0</v>
      </c>
      <c r="G15" s="1">
        <f>+G12+G14</f>
        <v>4162701.4396933867</v>
      </c>
      <c r="H15" s="1">
        <f>+H12+H14</f>
        <v>4752605.2064061826</v>
      </c>
      <c r="I15" s="1">
        <f>+I12+I14</f>
        <v>0</v>
      </c>
      <c r="J15" s="1">
        <f>+J12+J14</f>
        <v>0</v>
      </c>
      <c r="K15" s="1">
        <f>SUM(B15:J15)</f>
        <v>33090060.209999997</v>
      </c>
    </row>
    <row r="17" spans="1:11" x14ac:dyDescent="0.2">
      <c r="A17" t="s">
        <v>6</v>
      </c>
      <c r="B17" s="1">
        <f>B$9/($K$9-$J$9-$I$9-$H$9)*-$H$17</f>
        <v>3658370.6840625191</v>
      </c>
      <c r="C17" s="1">
        <f>C$9/($K$9-$J$9-$I$9-$H$9)*-$H$17</f>
        <v>0</v>
      </c>
      <c r="D17" s="1">
        <f>D$9/($K$9-$J$9-$I$9-$H$9)*-$H$17</f>
        <v>396088.67500161141</v>
      </c>
      <c r="E17" s="1">
        <f>E$9/($K$9-$J$9-$I$9-$H$9)*-$H$17</f>
        <v>0</v>
      </c>
      <c r="G17" s="1">
        <f>G$9/($K$9-$J$9-$I$9-$H$9)*-$H$17</f>
        <v>698145.84734205296</v>
      </c>
      <c r="H17" s="1">
        <f>-H15</f>
        <v>-4752605.2064061826</v>
      </c>
      <c r="K17" s="1">
        <v>0</v>
      </c>
    </row>
    <row r="18" spans="1:11" x14ac:dyDescent="0.2">
      <c r="A18" t="s">
        <v>4</v>
      </c>
      <c r="B18" s="1">
        <f>+B15+B17</f>
        <v>25471441.651192255</v>
      </c>
      <c r="C18" s="1">
        <f>+C15+C17</f>
        <v>0</v>
      </c>
      <c r="D18" s="1">
        <f>+D15+D17</f>
        <v>2757771.2717723022</v>
      </c>
      <c r="E18" s="1">
        <f>+E15+E17</f>
        <v>0</v>
      </c>
      <c r="G18" s="1">
        <f>+G15+G17</f>
        <v>4860847.2870354392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33090060.209999997</v>
      </c>
    </row>
    <row r="20" spans="1:11" x14ac:dyDescent="0.2">
      <c r="A20" t="s">
        <v>7</v>
      </c>
      <c r="B20" s="1">
        <f>B$9/($K$9-$J$9-$I$9-$H$9-$G$9)*-$G$20</f>
        <v>4385980.876794382</v>
      </c>
      <c r="C20" s="1">
        <f>C$9/($K$9-$J$9-$I$9-$H$9-$G$9)*-$G$20</f>
        <v>0</v>
      </c>
      <c r="D20" s="1">
        <f>D$9/($K$9-$J$9-$I$9-$H$9-$G$9)*-$G$20</f>
        <v>474866.41024105815</v>
      </c>
      <c r="E20" s="1">
        <f>E$9/($K$9-$J$9-$I$9-$H$9-$G$9)*-$G$20</f>
        <v>0</v>
      </c>
      <c r="G20" s="1">
        <f>-G18</f>
        <v>-4860847.2870354392</v>
      </c>
      <c r="K20" s="1">
        <f>SUM(B20:J20)</f>
        <v>0</v>
      </c>
    </row>
    <row r="22" spans="1:11" x14ac:dyDescent="0.2">
      <c r="A22" t="s">
        <v>8</v>
      </c>
      <c r="B22" s="1">
        <f>+B20+B18</f>
        <v>29857422.527986638</v>
      </c>
      <c r="C22" s="1">
        <f t="shared" ref="C22:K22" si="3">+C20+C18</f>
        <v>0</v>
      </c>
      <c r="D22" s="1">
        <f t="shared" si="3"/>
        <v>3232637.6820133603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33090060.209999997</v>
      </c>
    </row>
    <row r="27" spans="1:11" x14ac:dyDescent="0.2">
      <c r="A27" t="s">
        <v>9</v>
      </c>
      <c r="B27" s="1">
        <f>+B9</f>
        <v>16648170.07</v>
      </c>
    </row>
    <row r="28" spans="1:11" x14ac:dyDescent="0.2">
      <c r="A28" t="s">
        <v>10</v>
      </c>
      <c r="B28" s="1">
        <f>+B22-B27</f>
        <v>13209252.457986638</v>
      </c>
    </row>
    <row r="29" spans="1:11" x14ac:dyDescent="0.2">
      <c r="A29" s="29" t="s">
        <v>170</v>
      </c>
      <c r="B29" s="1">
        <v>2484</v>
      </c>
    </row>
    <row r="30" spans="1:11" x14ac:dyDescent="0.2">
      <c r="A30" t="s">
        <v>11</v>
      </c>
      <c r="B30" s="1">
        <f>+B28/B29</f>
        <v>5317.7344838915615</v>
      </c>
    </row>
  </sheetData>
  <phoneticPr fontId="0" type="noConversion"/>
  <pageMargins left="0.59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11108329.43</v>
      </c>
      <c r="C9" s="1">
        <f>'Master Expend Table'!C41</f>
        <v>0</v>
      </c>
      <c r="D9" s="1">
        <f>'Master Expend Table'!D41</f>
        <v>720442.13</v>
      </c>
      <c r="E9" s="1">
        <f>'Master Expend Table'!E41</f>
        <v>70388.97</v>
      </c>
      <c r="G9" s="1">
        <f>'Master Expend Table'!G41</f>
        <v>3211116.39</v>
      </c>
      <c r="H9" s="1">
        <f>'Master Expend Table'!H41</f>
        <v>3630285.57</v>
      </c>
      <c r="I9" s="1">
        <f>'Master Expend Table'!I41</f>
        <v>3857013.4</v>
      </c>
      <c r="J9" s="1">
        <f>'Master Expend Table'!J41</f>
        <v>2509327.14</v>
      </c>
      <c r="K9" s="1">
        <f>SUM(B9:J9)</f>
        <v>25106903.030000001</v>
      </c>
    </row>
    <row r="11" spans="1:11" x14ac:dyDescent="0.2">
      <c r="A11" t="s">
        <v>3</v>
      </c>
      <c r="B11" s="1">
        <f>(B9/($K9-$J9))*-$J$11</f>
        <v>1233514.2784538616</v>
      </c>
      <c r="C11" s="1">
        <f t="shared" ref="C11:I11" si="0">(C9/($K9-$J9))*-$J$11</f>
        <v>0</v>
      </c>
      <c r="D11" s="1">
        <f t="shared" si="0"/>
        <v>80000.837187515164</v>
      </c>
      <c r="E11" s="1">
        <f t="shared" si="0"/>
        <v>7816.2787742117325</v>
      </c>
      <c r="G11" s="1">
        <f t="shared" si="0"/>
        <v>356575.4816511792</v>
      </c>
      <c r="H11" s="1">
        <f t="shared" si="0"/>
        <v>403121.73974300432</v>
      </c>
      <c r="I11" s="1">
        <f t="shared" si="0"/>
        <v>428298.52419022791</v>
      </c>
      <c r="J11" s="1">
        <f>-J9</f>
        <v>-2509327.14</v>
      </c>
      <c r="K11" s="1">
        <v>0</v>
      </c>
    </row>
    <row r="12" spans="1:11" x14ac:dyDescent="0.2">
      <c r="A12" t="s">
        <v>4</v>
      </c>
      <c r="B12" s="1">
        <f>+B9+B11</f>
        <v>12341843.708453862</v>
      </c>
      <c r="C12" s="1">
        <f t="shared" ref="C12:J12" si="1">+C9+C11</f>
        <v>0</v>
      </c>
      <c r="D12" s="1">
        <f t="shared" si="1"/>
        <v>800442.96718751523</v>
      </c>
      <c r="E12" s="1">
        <f t="shared" si="1"/>
        <v>78205.248774211737</v>
      </c>
      <c r="G12" s="1">
        <f t="shared" si="1"/>
        <v>3567691.8716511792</v>
      </c>
      <c r="H12" s="1">
        <f t="shared" si="1"/>
        <v>4033407.3097430039</v>
      </c>
      <c r="I12" s="1">
        <f t="shared" si="1"/>
        <v>4285311.9241902279</v>
      </c>
      <c r="J12" s="1">
        <f t="shared" si="1"/>
        <v>0</v>
      </c>
      <c r="K12" s="1">
        <f>SUM(B12:J12)</f>
        <v>25106903.029999997</v>
      </c>
    </row>
    <row r="14" spans="1:11" x14ac:dyDescent="0.2">
      <c r="A14" t="s">
        <v>5</v>
      </c>
      <c r="B14" s="1">
        <f>B$9/($K$9-$J$9-$I$9)*-I14</f>
        <v>2540086.8618331547</v>
      </c>
      <c r="C14" s="1">
        <f t="shared" ref="C14:H14" si="2">C$9/($K$9-$J$9-$I$9)*-$I$14</f>
        <v>0</v>
      </c>
      <c r="D14" s="1">
        <f t="shared" si="2"/>
        <v>164739.94588078163</v>
      </c>
      <c r="E14" s="1">
        <f t="shared" si="2"/>
        <v>16095.498341281014</v>
      </c>
      <c r="G14" s="1">
        <f t="shared" si="2"/>
        <v>734270.13534798531</v>
      </c>
      <c r="H14" s="1">
        <f t="shared" si="2"/>
        <v>830119.4827870247</v>
      </c>
      <c r="I14" s="1">
        <f>-I12</f>
        <v>-4285311.9241902279</v>
      </c>
      <c r="K14" s="1">
        <v>0</v>
      </c>
    </row>
    <row r="15" spans="1:11" x14ac:dyDescent="0.2">
      <c r="A15" t="s">
        <v>4</v>
      </c>
      <c r="B15" s="1">
        <f>+B12+B14</f>
        <v>14881930.570287017</v>
      </c>
      <c r="C15" s="1">
        <f>+C12+C14</f>
        <v>0</v>
      </c>
      <c r="D15" s="1">
        <f>+D12+D14</f>
        <v>965182.91306829685</v>
      </c>
      <c r="E15" s="1">
        <f>+E12+E14</f>
        <v>94300.747115492748</v>
      </c>
      <c r="G15" s="1">
        <f>+G12+G14</f>
        <v>4301962.0069991648</v>
      </c>
      <c r="H15" s="1">
        <f>+H12+H14</f>
        <v>4863526.7925300281</v>
      </c>
      <c r="I15" s="1">
        <f>+I12+I14</f>
        <v>0</v>
      </c>
      <c r="J15" s="1">
        <f>+J12+J14</f>
        <v>0</v>
      </c>
      <c r="K15" s="1">
        <f>SUM(B15:J15)</f>
        <v>25106903.030000001</v>
      </c>
    </row>
    <row r="17" spans="1:11" x14ac:dyDescent="0.2">
      <c r="A17" t="s">
        <v>6</v>
      </c>
      <c r="B17" s="1">
        <f>B$9/($K$9-$J$9-$I$9-$H$9)*-$H$17</f>
        <v>3575424.7317298544</v>
      </c>
      <c r="C17" s="1">
        <f>C$9/($K$9-$J$9-$I$9-$H$9)*-$H$17</f>
        <v>0</v>
      </c>
      <c r="D17" s="1">
        <f>D$9/($K$9-$J$9-$I$9-$H$9)*-$H$17</f>
        <v>231887.8482686604</v>
      </c>
      <c r="E17" s="1">
        <f>E$9/($K$9-$J$9-$I$9-$H$9)*-$H$17</f>
        <v>22656.013738601447</v>
      </c>
      <c r="G17" s="1">
        <f>G$9/($K$9-$J$9-$I$9-$H$9)*-$H$17</f>
        <v>1033558.1987929115</v>
      </c>
      <c r="H17" s="1">
        <f>-H15</f>
        <v>-4863526.7925300281</v>
      </c>
      <c r="K17" s="1">
        <v>0</v>
      </c>
    </row>
    <row r="18" spans="1:11" x14ac:dyDescent="0.2">
      <c r="A18" t="s">
        <v>4</v>
      </c>
      <c r="B18" s="1">
        <f>+B15+B17</f>
        <v>18457355.302016873</v>
      </c>
      <c r="C18" s="1">
        <f>+C15+C17</f>
        <v>0</v>
      </c>
      <c r="D18" s="1">
        <f>+D15+D17</f>
        <v>1197070.7613369573</v>
      </c>
      <c r="E18" s="1">
        <f>+E15+E17</f>
        <v>116956.7608540942</v>
      </c>
      <c r="G18" s="1">
        <f>+G15+G17</f>
        <v>5335520.205792076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25106903.030000001</v>
      </c>
    </row>
    <row r="20" spans="1:11" x14ac:dyDescent="0.2">
      <c r="A20" t="s">
        <v>7</v>
      </c>
      <c r="B20" s="1">
        <f>B$9/($K$9-$J$9-$I$9-$H$9-$G$9)*-$G$20</f>
        <v>4980915.7525803847</v>
      </c>
      <c r="C20" s="1">
        <f>C$9/($K$9-$J$9-$I$9-$H$9-$G$9)*-$G$20</f>
        <v>0</v>
      </c>
      <c r="D20" s="1">
        <f>D$9/($K$9-$J$9-$I$9-$H$9-$G$9)*-$G$20</f>
        <v>323042.41396085121</v>
      </c>
      <c r="E20" s="1">
        <f>E$9/($K$9-$J$9-$I$9-$H$9-$G$9)*-$G$20</f>
        <v>31562.039250838832</v>
      </c>
      <c r="G20" s="1">
        <f>-G18</f>
        <v>-5335520.205792076</v>
      </c>
      <c r="K20" s="1">
        <f>SUM(B20:J20)</f>
        <v>0</v>
      </c>
    </row>
    <row r="22" spans="1:11" x14ac:dyDescent="0.2">
      <c r="A22" t="s">
        <v>8</v>
      </c>
      <c r="B22" s="1">
        <f>+B20+B18</f>
        <v>23438271.054597259</v>
      </c>
      <c r="C22" s="1">
        <f t="shared" ref="C22:K22" si="3">+C20+C18</f>
        <v>0</v>
      </c>
      <c r="D22" s="1">
        <f t="shared" si="3"/>
        <v>1520113.1752978086</v>
      </c>
      <c r="E22" s="1">
        <f t="shared" si="3"/>
        <v>148518.80010493303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25106903.030000001</v>
      </c>
    </row>
    <row r="27" spans="1:11" x14ac:dyDescent="0.2">
      <c r="A27" t="s">
        <v>9</v>
      </c>
      <c r="B27" s="1">
        <f>+B9</f>
        <v>11108329.43</v>
      </c>
    </row>
    <row r="28" spans="1:11" x14ac:dyDescent="0.2">
      <c r="A28" t="s">
        <v>10</v>
      </c>
      <c r="B28" s="1">
        <f>+B22-B27</f>
        <v>12329941.624597259</v>
      </c>
    </row>
    <row r="29" spans="1:11" x14ac:dyDescent="0.2">
      <c r="A29" s="29" t="s">
        <v>170</v>
      </c>
      <c r="B29" s="1">
        <v>2164</v>
      </c>
    </row>
    <row r="30" spans="1:11" x14ac:dyDescent="0.2">
      <c r="A30" t="s">
        <v>11</v>
      </c>
      <c r="B30" s="1">
        <f>+B28/B29</f>
        <v>5697.7549097029851</v>
      </c>
    </row>
  </sheetData>
  <phoneticPr fontId="0" type="noConversion"/>
  <pageMargins left="0.5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18509137.73</v>
      </c>
      <c r="C9" s="1">
        <f>'Master Expend Table'!C42</f>
        <v>0</v>
      </c>
      <c r="D9" s="1">
        <f>'Master Expend Table'!D42</f>
        <v>772791.05</v>
      </c>
      <c r="E9" s="1">
        <f>'Master Expend Table'!E42</f>
        <v>182243.61</v>
      </c>
      <c r="G9" s="1">
        <f>'Master Expend Table'!G42</f>
        <v>5947132.4299999997</v>
      </c>
      <c r="H9" s="1">
        <f>'Master Expend Table'!H42</f>
        <v>3527184.52</v>
      </c>
      <c r="I9" s="1">
        <f>'Master Expend Table'!I42</f>
        <v>5717423.5899999999</v>
      </c>
      <c r="J9" s="1">
        <f>'Master Expend Table'!J42</f>
        <v>5907209.7000000002</v>
      </c>
      <c r="K9" s="1">
        <f>SUM(B9:J9)</f>
        <v>40563122.630000003</v>
      </c>
    </row>
    <row r="11" spans="1:11" x14ac:dyDescent="0.2">
      <c r="A11" t="s">
        <v>3</v>
      </c>
      <c r="B11" s="1">
        <f>(B9/($K9-$J9))*-$J$11</f>
        <v>3154940.9233032716</v>
      </c>
      <c r="C11" s="1">
        <f t="shared" ref="C11:I11" si="0">(C9/($K9-$J9))*-$J$11</f>
        <v>0</v>
      </c>
      <c r="D11" s="1">
        <f t="shared" si="0"/>
        <v>131724.67266564042</v>
      </c>
      <c r="E11" s="1">
        <f t="shared" si="0"/>
        <v>31063.998311904143</v>
      </c>
      <c r="G11" s="1">
        <f t="shared" si="0"/>
        <v>1013707.4861839622</v>
      </c>
      <c r="H11" s="1">
        <f t="shared" si="0"/>
        <v>601219.72987176024</v>
      </c>
      <c r="I11" s="1">
        <f t="shared" si="0"/>
        <v>974552.88966346171</v>
      </c>
      <c r="J11" s="1">
        <f>-J9</f>
        <v>-5907209.7000000002</v>
      </c>
      <c r="K11" s="1">
        <v>0</v>
      </c>
    </row>
    <row r="12" spans="1:11" x14ac:dyDescent="0.2">
      <c r="A12" t="s">
        <v>4</v>
      </c>
      <c r="B12" s="1">
        <f>+B9+B11</f>
        <v>21664078.653303273</v>
      </c>
      <c r="C12" s="1">
        <f t="shared" ref="C12:J12" si="1">+C9+C11</f>
        <v>0</v>
      </c>
      <c r="D12" s="1">
        <f t="shared" si="1"/>
        <v>904515.72266564053</v>
      </c>
      <c r="E12" s="1">
        <f t="shared" si="1"/>
        <v>213307.60831190413</v>
      </c>
      <c r="G12" s="1">
        <f t="shared" si="1"/>
        <v>6960839.9161839616</v>
      </c>
      <c r="H12" s="1">
        <f t="shared" si="1"/>
        <v>4128404.2498717601</v>
      </c>
      <c r="I12" s="1">
        <f t="shared" si="1"/>
        <v>6691976.4796634614</v>
      </c>
      <c r="J12" s="1">
        <f t="shared" si="1"/>
        <v>0</v>
      </c>
      <c r="K12" s="1">
        <f>SUM(B12:J12)</f>
        <v>40563122.630000003</v>
      </c>
    </row>
    <row r="14" spans="1:11" x14ac:dyDescent="0.2">
      <c r="A14" t="s">
        <v>5</v>
      </c>
      <c r="B14" s="1">
        <f>B$9/($K$9-$J$9-$I$9)*-I14</f>
        <v>4280206.6442633299</v>
      </c>
      <c r="C14" s="1">
        <f t="shared" ref="C14:H14" si="2">C$9/($K$9-$J$9-$I$9)*-$I$14</f>
        <v>0</v>
      </c>
      <c r="D14" s="1">
        <f t="shared" si="2"/>
        <v>178706.61697416825</v>
      </c>
      <c r="E14" s="1">
        <f t="shared" si="2"/>
        <v>42143.525094214914</v>
      </c>
      <c r="G14" s="1">
        <f t="shared" si="2"/>
        <v>1375264.2674402923</v>
      </c>
      <c r="H14" s="1">
        <f t="shared" si="2"/>
        <v>815655.42589145596</v>
      </c>
      <c r="I14" s="1">
        <f>-I12</f>
        <v>-6691976.4796634614</v>
      </c>
      <c r="K14" s="1">
        <v>0</v>
      </c>
    </row>
    <row r="15" spans="1:11" x14ac:dyDescent="0.2">
      <c r="A15" t="s">
        <v>4</v>
      </c>
      <c r="B15" s="1">
        <f>+B12+B14</f>
        <v>25944285.297566604</v>
      </c>
      <c r="C15" s="1">
        <f>+C12+C14</f>
        <v>0</v>
      </c>
      <c r="D15" s="1">
        <f>+D12+D14</f>
        <v>1083222.3396398087</v>
      </c>
      <c r="E15" s="1">
        <f>+E12+E14</f>
        <v>255451.13340611904</v>
      </c>
      <c r="G15" s="1">
        <f>+G12+G14</f>
        <v>8336104.1836242536</v>
      </c>
      <c r="H15" s="1">
        <f>+H12+H14</f>
        <v>4944059.6757632159</v>
      </c>
      <c r="I15" s="1">
        <f>+I12+I14</f>
        <v>0</v>
      </c>
      <c r="J15" s="1">
        <f>+J12+J14</f>
        <v>0</v>
      </c>
      <c r="K15" s="1">
        <f>SUM(B15:J15)</f>
        <v>40563122.629999995</v>
      </c>
    </row>
    <row r="17" spans="1:11" x14ac:dyDescent="0.2">
      <c r="A17" t="s">
        <v>6</v>
      </c>
      <c r="B17" s="1">
        <f>B$9/($K$9-$J$9-$I$9-$H$9)*-$H$17</f>
        <v>3601164.2114503784</v>
      </c>
      <c r="C17" s="1">
        <f>C$9/($K$9-$J$9-$I$9-$H$9)*-$H$17</f>
        <v>0</v>
      </c>
      <c r="D17" s="1">
        <f>D$9/($K$9-$J$9-$I$9-$H$9)*-$H$17</f>
        <v>150355.32788102279</v>
      </c>
      <c r="E17" s="1">
        <f>E$9/($K$9-$J$9-$I$9-$H$9)*-$H$17</f>
        <v>35457.576450673492</v>
      </c>
      <c r="G17" s="1">
        <f>G$9/($K$9-$J$9-$I$9-$H$9)*-$H$17</f>
        <v>1157082.5599811408</v>
      </c>
      <c r="H17" s="1">
        <f>-H15</f>
        <v>-4944059.6757632159</v>
      </c>
      <c r="K17" s="1">
        <v>0</v>
      </c>
    </row>
    <row r="18" spans="1:11" x14ac:dyDescent="0.2">
      <c r="A18" t="s">
        <v>4</v>
      </c>
      <c r="B18" s="1">
        <f>+B15+B17</f>
        <v>29545449.509016983</v>
      </c>
      <c r="C18" s="1">
        <f>+C15+C17</f>
        <v>0</v>
      </c>
      <c r="D18" s="1">
        <f>+D15+D17</f>
        <v>1233577.6675208316</v>
      </c>
      <c r="E18" s="1">
        <f>+E15+E17</f>
        <v>290908.70985679253</v>
      </c>
      <c r="G18" s="1">
        <f>+G15+G17</f>
        <v>9493186.7436053939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40563122.630000003</v>
      </c>
    </row>
    <row r="20" spans="1:11" x14ac:dyDescent="0.2">
      <c r="A20" t="s">
        <v>7</v>
      </c>
      <c r="B20" s="1">
        <f>B$9/($K$9-$J$9-$I$9-$H$9-$G$9)*-$G$20</f>
        <v>9027391.3225448187</v>
      </c>
      <c r="C20" s="1">
        <f>C$9/($K$9-$J$9-$I$9-$H$9-$G$9)*-$G$20</f>
        <v>0</v>
      </c>
      <c r="D20" s="1">
        <f>D$9/($K$9-$J$9-$I$9-$H$9-$G$9)*-$G$20</f>
        <v>376910.43854533462</v>
      </c>
      <c r="E20" s="1">
        <f>E$9/($K$9-$J$9-$I$9-$H$9-$G$9)*-$G$20</f>
        <v>88884.982515241238</v>
      </c>
      <c r="G20" s="1">
        <f>-G18</f>
        <v>-9493186.7436053939</v>
      </c>
      <c r="K20" s="1">
        <f>SUM(B20:J20)</f>
        <v>0</v>
      </c>
    </row>
    <row r="22" spans="1:11" x14ac:dyDescent="0.2">
      <c r="A22" t="s">
        <v>8</v>
      </c>
      <c r="B22" s="1">
        <f>+B20+B18</f>
        <v>38572840.831561804</v>
      </c>
      <c r="C22" s="1">
        <f t="shared" ref="C22:K22" si="3">+C20+C18</f>
        <v>0</v>
      </c>
      <c r="D22" s="1">
        <f t="shared" si="3"/>
        <v>1610488.1060661662</v>
      </c>
      <c r="E22" s="1">
        <f t="shared" si="3"/>
        <v>379793.69237203378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40563122.630000003</v>
      </c>
    </row>
    <row r="27" spans="1:11" x14ac:dyDescent="0.2">
      <c r="A27" t="s">
        <v>9</v>
      </c>
      <c r="B27" s="1">
        <f>+B9</f>
        <v>18509137.73</v>
      </c>
    </row>
    <row r="28" spans="1:11" x14ac:dyDescent="0.2">
      <c r="A28" t="s">
        <v>10</v>
      </c>
      <c r="B28" s="1">
        <f>+B22-B27</f>
        <v>20063703.101561803</v>
      </c>
    </row>
    <row r="29" spans="1:11" x14ac:dyDescent="0.2">
      <c r="A29" s="29" t="s">
        <v>170</v>
      </c>
      <c r="B29" s="1">
        <v>3363</v>
      </c>
    </row>
    <row r="30" spans="1:11" x14ac:dyDescent="0.2">
      <c r="A30" t="s">
        <v>11</v>
      </c>
      <c r="B30" s="1">
        <f>+B28/B29</f>
        <v>5966.013411109665</v>
      </c>
    </row>
  </sheetData>
  <phoneticPr fontId="0" type="noConversion"/>
  <pageMargins left="0.63" right="0.55000000000000004" top="1" bottom="0.53" header="0.5" footer="0.5"/>
  <pageSetup scale="10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21876731.449999999</v>
      </c>
      <c r="C9" s="1">
        <f>'Master Expend Table'!C43</f>
        <v>0</v>
      </c>
      <c r="D9" s="1">
        <f>'Master Expend Table'!D43</f>
        <v>1001320.25</v>
      </c>
      <c r="E9" s="1">
        <f>'Master Expend Table'!E43</f>
        <v>0</v>
      </c>
      <c r="G9" s="1">
        <f>'Master Expend Table'!G43</f>
        <v>5034513.93</v>
      </c>
      <c r="H9" s="1">
        <f>'Master Expend Table'!H43</f>
        <v>5746901.9100000001</v>
      </c>
      <c r="I9" s="1">
        <f>'Master Expend Table'!I43</f>
        <v>6914746.1100000003</v>
      </c>
      <c r="J9" s="1">
        <f>'Master Expend Table'!J43</f>
        <v>5348710.9000000004</v>
      </c>
      <c r="K9" s="1">
        <f>SUM(B9:J9)</f>
        <v>45922924.549999997</v>
      </c>
    </row>
    <row r="11" spans="1:11" x14ac:dyDescent="0.2">
      <c r="A11" t="s">
        <v>3</v>
      </c>
      <c r="B11" s="1">
        <f>(B9/($K9-$J9))*-$J$11</f>
        <v>2883908.3111346462</v>
      </c>
      <c r="C11" s="1">
        <f t="shared" ref="C11:I11" si="0">(C9/($K9-$J9))*-$J$11</f>
        <v>0</v>
      </c>
      <c r="D11" s="1">
        <f t="shared" si="0"/>
        <v>131999.41671736442</v>
      </c>
      <c r="E11" s="1">
        <f t="shared" si="0"/>
        <v>0</v>
      </c>
      <c r="G11" s="1">
        <f t="shared" si="0"/>
        <v>663676.68307461671</v>
      </c>
      <c r="H11" s="1">
        <f t="shared" si="0"/>
        <v>757587.49516142067</v>
      </c>
      <c r="I11" s="1">
        <f t="shared" si="0"/>
        <v>911538.99391195225</v>
      </c>
      <c r="J11" s="1">
        <f>-J9</f>
        <v>-5348710.9000000004</v>
      </c>
      <c r="K11" s="1">
        <v>0</v>
      </c>
    </row>
    <row r="12" spans="1:11" x14ac:dyDescent="0.2">
      <c r="A12" t="s">
        <v>4</v>
      </c>
      <c r="B12" s="1">
        <f>+B9+B11</f>
        <v>24760639.761134647</v>
      </c>
      <c r="C12" s="1">
        <f t="shared" ref="C12:J12" si="1">+C9+C11</f>
        <v>0</v>
      </c>
      <c r="D12" s="1">
        <f t="shared" si="1"/>
        <v>1133319.6667173645</v>
      </c>
      <c r="E12" s="1">
        <f t="shared" si="1"/>
        <v>0</v>
      </c>
      <c r="G12" s="1">
        <f t="shared" si="1"/>
        <v>5698190.6130746165</v>
      </c>
      <c r="H12" s="1">
        <f t="shared" si="1"/>
        <v>6504489.4051614208</v>
      </c>
      <c r="I12" s="1">
        <f t="shared" si="1"/>
        <v>7826285.103911953</v>
      </c>
      <c r="J12" s="1">
        <f t="shared" si="1"/>
        <v>0</v>
      </c>
      <c r="K12" s="1">
        <f>SUM(B12:J12)</f>
        <v>45922924.549999997</v>
      </c>
    </row>
    <row r="14" spans="1:11" x14ac:dyDescent="0.2">
      <c r="A14" t="s">
        <v>5</v>
      </c>
      <c r="B14" s="1">
        <f>B$9/($K$9-$J$9-$I$9)*-I14</f>
        <v>5086638.3214752758</v>
      </c>
      <c r="C14" s="1">
        <f t="shared" ref="C14:H14" si="2">C$9/($K$9-$J$9-$I$9)*-$I$14</f>
        <v>0</v>
      </c>
      <c r="D14" s="1">
        <f t="shared" si="2"/>
        <v>232820.60975883142</v>
      </c>
      <c r="E14" s="1">
        <f t="shared" si="2"/>
        <v>0</v>
      </c>
      <c r="G14" s="1">
        <f t="shared" si="2"/>
        <v>1170593.1274454209</v>
      </c>
      <c r="H14" s="1">
        <f t="shared" si="2"/>
        <v>1336233.045232425</v>
      </c>
      <c r="I14" s="1">
        <f>-I12</f>
        <v>-7826285.103911953</v>
      </c>
      <c r="K14" s="1">
        <v>0</v>
      </c>
    </row>
    <row r="15" spans="1:11" x14ac:dyDescent="0.2">
      <c r="A15" t="s">
        <v>4</v>
      </c>
      <c r="B15" s="1">
        <f>+B12+B14</f>
        <v>29847278.082609922</v>
      </c>
      <c r="C15" s="1">
        <f>+C12+C14</f>
        <v>0</v>
      </c>
      <c r="D15" s="1">
        <f>+D12+D14</f>
        <v>1366140.2764761958</v>
      </c>
      <c r="E15" s="1">
        <f>+E12+E14</f>
        <v>0</v>
      </c>
      <c r="G15" s="1">
        <f>+G12+G14</f>
        <v>6868783.7405200377</v>
      </c>
      <c r="H15" s="1">
        <f>+H12+H14</f>
        <v>7840722.4503938463</v>
      </c>
      <c r="I15" s="1">
        <f>+I12+I14</f>
        <v>0</v>
      </c>
      <c r="J15" s="1">
        <f>+J12+J14</f>
        <v>0</v>
      </c>
      <c r="K15" s="1">
        <f>SUM(B15:J15)</f>
        <v>45922924.550000004</v>
      </c>
    </row>
    <row r="17" spans="1:11" x14ac:dyDescent="0.2">
      <c r="A17" t="s">
        <v>6</v>
      </c>
      <c r="B17" s="1">
        <f>B$9/($K$9-$J$9-$I$9-$H$9)*-$H$17</f>
        <v>6145238.7320818314</v>
      </c>
      <c r="C17" s="1">
        <f>C$9/($K$9-$J$9-$I$9-$H$9)*-$H$17</f>
        <v>0</v>
      </c>
      <c r="D17" s="1">
        <f>D$9/($K$9-$J$9-$I$9-$H$9)*-$H$17</f>
        <v>281273.82728912472</v>
      </c>
      <c r="E17" s="1">
        <f>E$9/($K$9-$J$9-$I$9-$H$9)*-$H$17</f>
        <v>0</v>
      </c>
      <c r="G17" s="1">
        <f>G$9/($K$9-$J$9-$I$9-$H$9)*-$H$17</f>
        <v>1414209.8910228894</v>
      </c>
      <c r="H17" s="1">
        <f>-H15</f>
        <v>-7840722.4503938463</v>
      </c>
      <c r="K17" s="1">
        <v>0</v>
      </c>
    </row>
    <row r="18" spans="1:11" x14ac:dyDescent="0.2">
      <c r="A18" t="s">
        <v>4</v>
      </c>
      <c r="B18" s="1">
        <f>+B15+B17</f>
        <v>35992516.814691752</v>
      </c>
      <c r="C18" s="1">
        <f>+C15+C17</f>
        <v>0</v>
      </c>
      <c r="D18" s="1">
        <f>+D15+D17</f>
        <v>1647414.1037653205</v>
      </c>
      <c r="E18" s="1">
        <f>+E15+E17</f>
        <v>0</v>
      </c>
      <c r="G18" s="1">
        <f>+G15+G17</f>
        <v>8282993.6315429267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45922924.550000004</v>
      </c>
    </row>
    <row r="20" spans="1:11" x14ac:dyDescent="0.2">
      <c r="A20" t="s">
        <v>7</v>
      </c>
      <c r="B20" s="1">
        <f>B$9/($K$9-$J$9-$I$9-$H$9-$G$9)*-$G$20</f>
        <v>7920465.8532756465</v>
      </c>
      <c r="C20" s="1">
        <f>C$9/($K$9-$J$9-$I$9-$H$9-$G$9)*-$G$20</f>
        <v>0</v>
      </c>
      <c r="D20" s="1">
        <f>D$9/($K$9-$J$9-$I$9-$H$9-$G$9)*-$G$20</f>
        <v>362527.77826728014</v>
      </c>
      <c r="E20" s="1">
        <f>E$9/($K$9-$J$9-$I$9-$H$9-$G$9)*-$G$20</f>
        <v>0</v>
      </c>
      <c r="G20" s="1">
        <f>-G18</f>
        <v>-8282993.6315429267</v>
      </c>
      <c r="K20" s="1">
        <f>SUM(B20:J20)</f>
        <v>0</v>
      </c>
    </row>
    <row r="22" spans="1:11" x14ac:dyDescent="0.2">
      <c r="A22" t="s">
        <v>8</v>
      </c>
      <c r="B22" s="1">
        <f>+B20+B18</f>
        <v>43912982.667967401</v>
      </c>
      <c r="C22" s="1">
        <f t="shared" ref="C22:K22" si="3">+C20+C18</f>
        <v>0</v>
      </c>
      <c r="D22" s="1">
        <f t="shared" si="3"/>
        <v>2009941.8820326007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45922924.550000004</v>
      </c>
    </row>
    <row r="27" spans="1:11" x14ac:dyDescent="0.2">
      <c r="A27" t="s">
        <v>9</v>
      </c>
      <c r="B27" s="1">
        <f>+B9</f>
        <v>21876731.449999999</v>
      </c>
    </row>
    <row r="28" spans="1:11" x14ac:dyDescent="0.2">
      <c r="A28" t="s">
        <v>10</v>
      </c>
      <c r="B28" s="1">
        <f>+B22-B27</f>
        <v>22036251.217967402</v>
      </c>
    </row>
    <row r="29" spans="1:11" x14ac:dyDescent="0.2">
      <c r="A29" s="29" t="s">
        <v>170</v>
      </c>
      <c r="B29" s="1">
        <v>4255</v>
      </c>
    </row>
    <row r="30" spans="1:11" x14ac:dyDescent="0.2">
      <c r="A30" t="s">
        <v>11</v>
      </c>
      <c r="B30" s="1">
        <f>+B28/B29</f>
        <v>5178.9074542814105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B28" sqref="B28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12696530.439999999</v>
      </c>
      <c r="C9" s="1">
        <f>'Master Expend Table'!C44</f>
        <v>0</v>
      </c>
      <c r="D9" s="1">
        <f>'Master Expend Table'!D44</f>
        <v>1556202.34</v>
      </c>
      <c r="E9" s="1">
        <f>'Master Expend Table'!E44</f>
        <v>172029.98</v>
      </c>
      <c r="G9" s="1">
        <f>'Master Expend Table'!G44</f>
        <v>3845404.12</v>
      </c>
      <c r="H9" s="1">
        <f>'Master Expend Table'!H44</f>
        <v>3720316.95</v>
      </c>
      <c r="I9" s="1">
        <f>'Master Expend Table'!I44</f>
        <v>4793939.49</v>
      </c>
      <c r="J9" s="1">
        <f>'Master Expend Table'!J44</f>
        <v>2441169.9199999999</v>
      </c>
      <c r="K9" s="1">
        <f>SUM(B9:J9)</f>
        <v>29225593.240000002</v>
      </c>
    </row>
    <row r="11" spans="1:11" x14ac:dyDescent="0.2">
      <c r="A11" t="s">
        <v>3</v>
      </c>
      <c r="B11" s="1">
        <f>(B9/($K9-$J9))*-$J$11</f>
        <v>1157179.5975666489</v>
      </c>
      <c r="C11" s="1">
        <f t="shared" ref="C11:I11" si="0">(C9/($K9-$J9))*-$J$11</f>
        <v>0</v>
      </c>
      <c r="D11" s="1">
        <f t="shared" si="0"/>
        <v>141834.46462350839</v>
      </c>
      <c r="E11" s="1">
        <f t="shared" si="0"/>
        <v>15679.053735706922</v>
      </c>
      <c r="G11" s="1">
        <f t="shared" si="0"/>
        <v>350475.52660872712</v>
      </c>
      <c r="H11" s="1">
        <f t="shared" si="0"/>
        <v>339074.90643730399</v>
      </c>
      <c r="I11" s="1">
        <f t="shared" si="0"/>
        <v>436926.37102810474</v>
      </c>
      <c r="J11" s="1">
        <f>-J9</f>
        <v>-2441169.9199999999</v>
      </c>
      <c r="K11" s="1">
        <v>0</v>
      </c>
    </row>
    <row r="12" spans="1:11" x14ac:dyDescent="0.2">
      <c r="A12" t="s">
        <v>4</v>
      </c>
      <c r="B12" s="1">
        <f>+B9+B11</f>
        <v>13853710.037566649</v>
      </c>
      <c r="C12" s="1">
        <f t="shared" ref="C12:J12" si="1">+C9+C11</f>
        <v>0</v>
      </c>
      <c r="D12" s="1">
        <f t="shared" si="1"/>
        <v>1698036.8046235084</v>
      </c>
      <c r="E12" s="1">
        <f t="shared" si="1"/>
        <v>187709.03373570694</v>
      </c>
      <c r="G12" s="1">
        <f t="shared" si="1"/>
        <v>4195879.6466087271</v>
      </c>
      <c r="H12" s="1">
        <f t="shared" si="1"/>
        <v>4059391.8564373041</v>
      </c>
      <c r="I12" s="1">
        <f t="shared" si="1"/>
        <v>5230865.861028105</v>
      </c>
      <c r="J12" s="1">
        <f t="shared" si="1"/>
        <v>0</v>
      </c>
      <c r="K12" s="1">
        <f>SUM(B12:J12)</f>
        <v>29225593.240000002</v>
      </c>
    </row>
    <row r="14" spans="1:11" x14ac:dyDescent="0.2">
      <c r="A14" t="s">
        <v>5</v>
      </c>
      <c r="B14" s="1">
        <f>B$9/($K$9-$J$9-$I$9)*-I14</f>
        <v>3020117.6174894627</v>
      </c>
      <c r="C14" s="1">
        <f t="shared" ref="C14:H14" si="2">C$9/($K$9-$J$9-$I$9)*-$I$14</f>
        <v>0</v>
      </c>
      <c r="D14" s="1">
        <f t="shared" si="2"/>
        <v>370173.10560729267</v>
      </c>
      <c r="E14" s="1">
        <f t="shared" si="2"/>
        <v>40920.688985829729</v>
      </c>
      <c r="G14" s="1">
        <f t="shared" si="2"/>
        <v>914704.43709490786</v>
      </c>
      <c r="H14" s="1">
        <f t="shared" si="2"/>
        <v>884950.0118506127</v>
      </c>
      <c r="I14" s="1">
        <f>-I12</f>
        <v>-5230865.861028105</v>
      </c>
      <c r="K14" s="1">
        <v>0</v>
      </c>
    </row>
    <row r="15" spans="1:11" x14ac:dyDescent="0.2">
      <c r="A15" t="s">
        <v>4</v>
      </c>
      <c r="B15" s="1">
        <f>+B12+B14</f>
        <v>16873827.655056112</v>
      </c>
      <c r="C15" s="1">
        <f>+C12+C14</f>
        <v>0</v>
      </c>
      <c r="D15" s="1">
        <f>+D12+D14</f>
        <v>2068209.910230801</v>
      </c>
      <c r="E15" s="1">
        <f>+E12+E14</f>
        <v>228629.72272153667</v>
      </c>
      <c r="G15" s="1">
        <f>+G12+G14</f>
        <v>5110584.0837036353</v>
      </c>
      <c r="H15" s="1">
        <f>+H12+H14</f>
        <v>4944341.8682879172</v>
      </c>
      <c r="I15" s="1">
        <f>+I12+I14</f>
        <v>0</v>
      </c>
      <c r="J15" s="1">
        <f>+J12+J14</f>
        <v>0</v>
      </c>
      <c r="K15" s="1">
        <f>SUM(B15:J15)</f>
        <v>29225593.239999998</v>
      </c>
    </row>
    <row r="17" spans="1:11" x14ac:dyDescent="0.2">
      <c r="A17" t="s">
        <v>6</v>
      </c>
      <c r="B17" s="1">
        <f>B$9/($K$9-$J$9-$I$9-$H$9)*-$H$17</f>
        <v>3435983.2315053279</v>
      </c>
      <c r="C17" s="1">
        <f>C$9/($K$9-$J$9-$I$9-$H$9)*-$H$17</f>
        <v>0</v>
      </c>
      <c r="D17" s="1">
        <f>D$9/($K$9-$J$9-$I$9-$H$9)*-$H$17</f>
        <v>421145.38064852258</v>
      </c>
      <c r="E17" s="1">
        <f>E$9/($K$9-$J$9-$I$9-$H$9)*-$H$17</f>
        <v>46555.405777154738</v>
      </c>
      <c r="G17" s="1">
        <f>G$9/($K$9-$J$9-$I$9-$H$9)*-$H$17</f>
        <v>1040657.8503569124</v>
      </c>
      <c r="H17" s="1">
        <f>-H15</f>
        <v>-4944341.8682879172</v>
      </c>
      <c r="K17" s="1">
        <v>0</v>
      </c>
    </row>
    <row r="18" spans="1:11" x14ac:dyDescent="0.2">
      <c r="A18" t="s">
        <v>4</v>
      </c>
      <c r="B18" s="1">
        <f>+B15+B17</f>
        <v>20309810.886561438</v>
      </c>
      <c r="C18" s="1">
        <f>+C15+C17</f>
        <v>0</v>
      </c>
      <c r="D18" s="1">
        <f>+D15+D17</f>
        <v>2489355.2908793236</v>
      </c>
      <c r="E18" s="1">
        <f>+E15+E17</f>
        <v>275185.12849869143</v>
      </c>
      <c r="G18" s="1">
        <f>+G15+G17</f>
        <v>6151241.9340605475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29225593.240000002</v>
      </c>
    </row>
    <row r="20" spans="1:11" x14ac:dyDescent="0.2">
      <c r="A20" t="s">
        <v>7</v>
      </c>
      <c r="B20" s="1">
        <f>B$9/($K$9-$J$9-$I$9-$H$9-$G$9)*-$G$20</f>
        <v>5414261.0009625023</v>
      </c>
      <c r="C20" s="1">
        <f>C$9/($K$9-$J$9-$I$9-$H$9-$G$9)*-$G$20</f>
        <v>0</v>
      </c>
      <c r="D20" s="1">
        <f>D$9/($K$9-$J$9-$I$9-$H$9-$G$9)*-$G$20</f>
        <v>663621.11120718019</v>
      </c>
      <c r="E20" s="1">
        <f>E$9/($K$9-$J$9-$I$9-$H$9-$G$9)*-$G$20</f>
        <v>73359.821890866064</v>
      </c>
      <c r="G20" s="1">
        <f>-G18</f>
        <v>-6151241.9340605475</v>
      </c>
      <c r="K20" s="1">
        <f>SUM(B20:J20)</f>
        <v>0</v>
      </c>
    </row>
    <row r="22" spans="1:11" x14ac:dyDescent="0.2">
      <c r="A22" t="s">
        <v>8</v>
      </c>
      <c r="B22" s="1">
        <f>+B20+B18</f>
        <v>25724071.887523942</v>
      </c>
      <c r="C22" s="1">
        <f t="shared" ref="C22:K22" si="3">+C20+C18</f>
        <v>0</v>
      </c>
      <c r="D22" s="1">
        <f t="shared" si="3"/>
        <v>3152976.4020865038</v>
      </c>
      <c r="E22" s="1">
        <f t="shared" si="3"/>
        <v>348544.95038955752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29225593.240000002</v>
      </c>
    </row>
    <row r="27" spans="1:11" x14ac:dyDescent="0.2">
      <c r="A27" t="s">
        <v>9</v>
      </c>
      <c r="B27" s="1">
        <f>+B9</f>
        <v>12696530.439999999</v>
      </c>
    </row>
    <row r="28" spans="1:11" x14ac:dyDescent="0.2">
      <c r="A28" t="s">
        <v>10</v>
      </c>
      <c r="B28" s="1">
        <f>+B22-B27</f>
        <v>13027541.447523942</v>
      </c>
    </row>
    <row r="29" spans="1:11" x14ac:dyDescent="0.2">
      <c r="A29" s="29" t="s">
        <v>170</v>
      </c>
      <c r="B29" s="1">
        <v>2095</v>
      </c>
    </row>
    <row r="30" spans="1:11" x14ac:dyDescent="0.2">
      <c r="A30" t="s">
        <v>11</v>
      </c>
      <c r="B30" s="1">
        <f>+B28/B29</f>
        <v>6218.3968723264643</v>
      </c>
    </row>
  </sheetData>
  <phoneticPr fontId="0" type="noConversion"/>
  <pageMargins left="0.6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32288075.43</v>
      </c>
      <c r="C9" s="1">
        <f>'Master Expend Table'!C7</f>
        <v>0</v>
      </c>
      <c r="D9" s="1">
        <f>'Master Expend Table'!D7</f>
        <v>993206.58</v>
      </c>
      <c r="E9" s="1">
        <f>'Master Expend Table'!E7</f>
        <v>172645.4</v>
      </c>
      <c r="G9" s="1">
        <f>'Master Expend Table'!G7</f>
        <v>10195269.16</v>
      </c>
      <c r="H9" s="1">
        <f>'Master Expend Table'!H7</f>
        <v>7358724.5700000003</v>
      </c>
      <c r="I9" s="1">
        <f>'Master Expend Table'!I7</f>
        <v>9402237.2100000009</v>
      </c>
      <c r="J9" s="1">
        <f>'Master Expend Table'!J7</f>
        <v>8933929.5800000001</v>
      </c>
      <c r="K9" s="1">
        <f>SUM(B9:J9)</f>
        <v>69344087.929999992</v>
      </c>
    </row>
    <row r="11" spans="1:11" x14ac:dyDescent="0.2">
      <c r="A11" t="s">
        <v>3</v>
      </c>
      <c r="B11" s="1">
        <f>(B9/($K9-$J9))*-$J$11</f>
        <v>4775014.6671374887</v>
      </c>
      <c r="C11" s="1">
        <f t="shared" ref="C11:I11" si="0">(C9/($K9-$J9))*-$J$11</f>
        <v>0</v>
      </c>
      <c r="D11" s="1">
        <f t="shared" si="0"/>
        <v>146883.20452172158</v>
      </c>
      <c r="E11" s="1">
        <f t="shared" si="0"/>
        <v>25532.16028626636</v>
      </c>
      <c r="G11" s="1">
        <f t="shared" si="0"/>
        <v>1507756.6292223725</v>
      </c>
      <c r="H11" s="1">
        <f t="shared" si="0"/>
        <v>1088266.0946872984</v>
      </c>
      <c r="I11" s="1">
        <f t="shared" si="0"/>
        <v>1390476.824144853</v>
      </c>
      <c r="J11" s="1">
        <f>-J9</f>
        <v>-8933929.5800000001</v>
      </c>
      <c r="K11" s="1">
        <v>0</v>
      </c>
    </row>
    <row r="12" spans="1:11" x14ac:dyDescent="0.2">
      <c r="A12" t="s">
        <v>4</v>
      </c>
      <c r="B12" s="1">
        <f>+B9+B11</f>
        <v>37063090.097137488</v>
      </c>
      <c r="C12" s="1">
        <f t="shared" ref="C12:J12" si="1">+C9+C11</f>
        <v>0</v>
      </c>
      <c r="D12" s="1">
        <f t="shared" si="1"/>
        <v>1140089.7845217215</v>
      </c>
      <c r="E12" s="1">
        <f t="shared" si="1"/>
        <v>198177.56028626635</v>
      </c>
      <c r="G12" s="1">
        <f t="shared" si="1"/>
        <v>11703025.789222373</v>
      </c>
      <c r="H12" s="1">
        <f t="shared" si="1"/>
        <v>8446990.6646872982</v>
      </c>
      <c r="I12" s="1">
        <f t="shared" si="1"/>
        <v>10792714.034144854</v>
      </c>
      <c r="J12" s="1">
        <f t="shared" si="1"/>
        <v>0</v>
      </c>
      <c r="K12" s="1">
        <f>SUM(B12:J12)</f>
        <v>69344087.930000007</v>
      </c>
    </row>
    <row r="14" spans="1:11" x14ac:dyDescent="0.2">
      <c r="A14" t="s">
        <v>5</v>
      </c>
      <c r="B14" s="1">
        <f>B$9/($K$9-$J$9-$I$9)*-I14</f>
        <v>6831800.9642548757</v>
      </c>
      <c r="C14" s="1">
        <f t="shared" ref="C14:H14" si="2">C$9/($K$9-$J$9-$I$9)*-$I$14</f>
        <v>0</v>
      </c>
      <c r="D14" s="1">
        <f t="shared" si="2"/>
        <v>210151.56774081805</v>
      </c>
      <c r="E14" s="1">
        <f t="shared" si="2"/>
        <v>36529.864183179925</v>
      </c>
      <c r="G14" s="1">
        <f t="shared" si="2"/>
        <v>2157206.6080287276</v>
      </c>
      <c r="H14" s="1">
        <f t="shared" si="2"/>
        <v>1557025.0299372536</v>
      </c>
      <c r="I14" s="1">
        <f>-I12</f>
        <v>-10792714.034144854</v>
      </c>
      <c r="K14" s="1">
        <v>0</v>
      </c>
    </row>
    <row r="15" spans="1:11" x14ac:dyDescent="0.2">
      <c r="A15" t="s">
        <v>4</v>
      </c>
      <c r="B15" s="1">
        <f>+B12+B14</f>
        <v>43894891.061392367</v>
      </c>
      <c r="C15" s="1">
        <f>+C12+C14</f>
        <v>0</v>
      </c>
      <c r="D15" s="1">
        <f>+D12+D14</f>
        <v>1350241.3522625396</v>
      </c>
      <c r="E15" s="1">
        <f>+E12+E14</f>
        <v>234707.42446944627</v>
      </c>
      <c r="G15" s="1">
        <f>+G12+G14</f>
        <v>13860232.397251099</v>
      </c>
      <c r="H15" s="1">
        <f>+H12+H14</f>
        <v>10004015.694624553</v>
      </c>
      <c r="I15" s="1">
        <f>+I12+I14</f>
        <v>0</v>
      </c>
      <c r="J15" s="1">
        <f>+J12+J14</f>
        <v>0</v>
      </c>
      <c r="K15" s="1">
        <f>SUM(B15:J15)</f>
        <v>69344087.930000007</v>
      </c>
    </row>
    <row r="17" spans="1:11" x14ac:dyDescent="0.2">
      <c r="A17" t="s">
        <v>6</v>
      </c>
      <c r="B17" s="1">
        <f>B$9/($K$9-$J$9-$I$9-$H$9)*-$H$17</f>
        <v>7400145.6781210452</v>
      </c>
      <c r="C17" s="1">
        <f>C$9/($K$9-$J$9-$I$9-$H$9)*-$H$17</f>
        <v>0</v>
      </c>
      <c r="D17" s="1">
        <f>D$9/($K$9-$J$9-$I$9-$H$9)*-$H$17</f>
        <v>227634.29788197766</v>
      </c>
      <c r="E17" s="1">
        <f>E$9/($K$9-$J$9-$I$9-$H$9)*-$H$17</f>
        <v>39568.822038566424</v>
      </c>
      <c r="G17" s="1">
        <f>G$9/($K$9-$J$9-$I$9-$H$9)*-$H$17</f>
        <v>2336666.8965829648</v>
      </c>
      <c r="H17" s="1">
        <f>-H15</f>
        <v>-10004015.694624553</v>
      </c>
      <c r="K17" s="1">
        <v>0</v>
      </c>
    </row>
    <row r="18" spans="1:11" x14ac:dyDescent="0.2">
      <c r="A18" t="s">
        <v>4</v>
      </c>
      <c r="B18" s="1">
        <f>+B15+B17</f>
        <v>51295036.739513412</v>
      </c>
      <c r="C18" s="1">
        <f>+C15+C17</f>
        <v>0</v>
      </c>
      <c r="D18" s="1">
        <f>+D15+D17</f>
        <v>1577875.6501445172</v>
      </c>
      <c r="E18" s="1">
        <f>+E15+E17</f>
        <v>274276.2465080127</v>
      </c>
      <c r="G18" s="1">
        <f>+G15+G17</f>
        <v>16196899.293834064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69344087.930000007</v>
      </c>
    </row>
    <row r="20" spans="1:11" x14ac:dyDescent="0.2">
      <c r="A20" t="s">
        <v>7</v>
      </c>
      <c r="B20" s="1">
        <f>B$9/($K$9-$J$9-$I$9-$H$9-$G$9)*-$G$20</f>
        <v>15632445.773021664</v>
      </c>
      <c r="C20" s="1">
        <f>C$9/($K$9-$J$9-$I$9-$H$9-$G$9)*-$G$20</f>
        <v>0</v>
      </c>
      <c r="D20" s="1">
        <f>D$9/($K$9-$J$9-$I$9-$H$9-$G$9)*-$G$20</f>
        <v>480866.31973215454</v>
      </c>
      <c r="E20" s="1">
        <f>E$9/($K$9-$J$9-$I$9-$H$9-$G$9)*-$G$20</f>
        <v>83587.201080248298</v>
      </c>
      <c r="G20" s="1">
        <f>-G18</f>
        <v>-16196899.293834064</v>
      </c>
      <c r="K20" s="1">
        <f>SUM(B20:J20)</f>
        <v>0</v>
      </c>
    </row>
    <row r="22" spans="1:11" x14ac:dyDescent="0.2">
      <c r="A22" t="s">
        <v>8</v>
      </c>
      <c r="B22" s="1">
        <f>+B20+B18</f>
        <v>66927482.51253508</v>
      </c>
      <c r="C22" s="1">
        <f t="shared" ref="C22:K22" si="3">+C20+C18</f>
        <v>0</v>
      </c>
      <c r="D22" s="1">
        <f t="shared" si="3"/>
        <v>2058741.9698766717</v>
      </c>
      <c r="E22" s="1">
        <f t="shared" si="3"/>
        <v>357863.44758826098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69344087.930000007</v>
      </c>
    </row>
    <row r="27" spans="1:11" x14ac:dyDescent="0.2">
      <c r="A27" t="s">
        <v>9</v>
      </c>
      <c r="B27" s="1">
        <f>+B9</f>
        <v>32288075.43</v>
      </c>
    </row>
    <row r="28" spans="1:11" x14ac:dyDescent="0.2">
      <c r="A28" t="s">
        <v>10</v>
      </c>
      <c r="B28" s="1">
        <f>+B22-B27</f>
        <v>34639407.082535081</v>
      </c>
    </row>
    <row r="29" spans="1:11" x14ac:dyDescent="0.2">
      <c r="A29" s="29" t="s">
        <v>170</v>
      </c>
      <c r="B29" s="1">
        <f>'ANOKARAM CC'!B29+'ANOKA TC'!B29</f>
        <v>6668</v>
      </c>
    </row>
    <row r="30" spans="1:11" x14ac:dyDescent="0.2">
      <c r="A30" t="s">
        <v>11</v>
      </c>
      <c r="B30" s="1">
        <f>+B28/B29</f>
        <v>5194.8720879626699</v>
      </c>
    </row>
  </sheetData>
  <pageMargins left="0.7" right="0.7" top="0.75" bottom="0.75" header="0.3" footer="0.3"/>
  <pageSetup scale="9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16961840.620000001</v>
      </c>
      <c r="C9" s="1">
        <f>'Master Expend Table'!C45</f>
        <v>117433.91</v>
      </c>
      <c r="D9" s="1">
        <f>'Master Expend Table'!D45</f>
        <v>216048.67</v>
      </c>
      <c r="E9" s="1">
        <f>'Master Expend Table'!E45</f>
        <v>3200327.22</v>
      </c>
      <c r="G9" s="1">
        <f>'Master Expend Table'!G45</f>
        <v>5142395.0599999996</v>
      </c>
      <c r="H9" s="1">
        <f>'Master Expend Table'!H45</f>
        <v>5623051.9699999997</v>
      </c>
      <c r="I9" s="1">
        <f>'Master Expend Table'!I45</f>
        <v>7118906.3399999999</v>
      </c>
      <c r="J9" s="1">
        <f>'Master Expend Table'!J45</f>
        <v>4184728.33</v>
      </c>
      <c r="K9" s="1">
        <f>SUM(B9:J9)</f>
        <v>42564732.119999997</v>
      </c>
    </row>
    <row r="11" spans="1:11" x14ac:dyDescent="0.2">
      <c r="A11" t="s">
        <v>3</v>
      </c>
      <c r="B11" s="1">
        <f>(B9/($K9-$J9))*-$J$11</f>
        <v>1849418.6545638891</v>
      </c>
      <c r="C11" s="1">
        <f t="shared" ref="C11:I11" si="0">(C9/($K9-$J9))*-$J$11</f>
        <v>12804.298112334041</v>
      </c>
      <c r="D11" s="1">
        <f t="shared" si="0"/>
        <v>23556.667554144115</v>
      </c>
      <c r="E11" s="1">
        <f t="shared" si="0"/>
        <v>348944.72799123562</v>
      </c>
      <c r="G11" s="1">
        <f t="shared" si="0"/>
        <v>560696.30449700507</v>
      </c>
      <c r="H11" s="1">
        <f t="shared" si="0"/>
        <v>613104.28755226848</v>
      </c>
      <c r="I11" s="1">
        <f t="shared" si="0"/>
        <v>776203.38972912368</v>
      </c>
      <c r="J11" s="1">
        <f>-J9</f>
        <v>-4184728.33</v>
      </c>
      <c r="K11" s="1">
        <v>0</v>
      </c>
    </row>
    <row r="12" spans="1:11" x14ac:dyDescent="0.2">
      <c r="A12" t="s">
        <v>4</v>
      </c>
      <c r="B12" s="1">
        <f>+B9+B11</f>
        <v>18811259.27456389</v>
      </c>
      <c r="C12" s="1">
        <f t="shared" ref="C12:J12" si="1">+C9+C11</f>
        <v>130238.20811233405</v>
      </c>
      <c r="D12" s="1">
        <f t="shared" si="1"/>
        <v>239605.33755414412</v>
      </c>
      <c r="E12" s="1">
        <f t="shared" si="1"/>
        <v>3549271.9479912356</v>
      </c>
      <c r="G12" s="1">
        <f t="shared" si="1"/>
        <v>5703091.364497005</v>
      </c>
      <c r="H12" s="1">
        <f t="shared" si="1"/>
        <v>6236156.257552268</v>
      </c>
      <c r="I12" s="1">
        <f t="shared" si="1"/>
        <v>7895109.7297291234</v>
      </c>
      <c r="J12" s="1">
        <f t="shared" si="1"/>
        <v>0</v>
      </c>
      <c r="K12" s="1">
        <f>SUM(B12:J12)</f>
        <v>42564732.120000005</v>
      </c>
    </row>
    <row r="14" spans="1:11" x14ac:dyDescent="0.2">
      <c r="A14" t="s">
        <v>5</v>
      </c>
      <c r="B14" s="1">
        <f>B$9/($K$9-$J$9-$I$9)*-I14</f>
        <v>4283777.7249268228</v>
      </c>
      <c r="C14" s="1">
        <f t="shared" ref="C14:H14" si="2">C$9/($K$9-$J$9-$I$9)*-$I$14</f>
        <v>29658.383136550256</v>
      </c>
      <c r="D14" s="1">
        <f t="shared" si="2"/>
        <v>54563.917960341365</v>
      </c>
      <c r="E14" s="1">
        <f t="shared" si="2"/>
        <v>808254.8801542141</v>
      </c>
      <c r="G14" s="1">
        <f t="shared" si="2"/>
        <v>1298731.541247186</v>
      </c>
      <c r="H14" s="1">
        <f t="shared" si="2"/>
        <v>1420123.2823040099</v>
      </c>
      <c r="I14" s="1">
        <f>-I12</f>
        <v>-7895109.7297291234</v>
      </c>
      <c r="K14" s="1">
        <v>0</v>
      </c>
    </row>
    <row r="15" spans="1:11" x14ac:dyDescent="0.2">
      <c r="A15" t="s">
        <v>4</v>
      </c>
      <c r="B15" s="1">
        <f>+B12+B14</f>
        <v>23095036.999490712</v>
      </c>
      <c r="C15" s="1">
        <f>+C12+C14</f>
        <v>159896.5912488843</v>
      </c>
      <c r="D15" s="1">
        <f>+D12+D14</f>
        <v>294169.25551448547</v>
      </c>
      <c r="E15" s="1">
        <f>+E12+E14</f>
        <v>4357526.82814545</v>
      </c>
      <c r="G15" s="1">
        <f>+G12+G14</f>
        <v>7001822.9057441913</v>
      </c>
      <c r="H15" s="1">
        <f>+H12+H14</f>
        <v>7656279.5398562774</v>
      </c>
      <c r="I15" s="1">
        <f>+I12+I14</f>
        <v>0</v>
      </c>
      <c r="J15" s="1">
        <f>+J12+J14</f>
        <v>0</v>
      </c>
      <c r="K15" s="1">
        <f>SUM(B15:J15)</f>
        <v>42564732.119999997</v>
      </c>
    </row>
    <row r="17" spans="1:11" x14ac:dyDescent="0.2">
      <c r="A17" t="s">
        <v>6</v>
      </c>
      <c r="B17" s="1">
        <f>B$9/($K$9-$J$9-$I$9-$H$9)*-$H$17</f>
        <v>5065307.8604808338</v>
      </c>
      <c r="C17" s="1">
        <f>C$9/($K$9-$J$9-$I$9-$H$9)*-$H$17</f>
        <v>35069.242821950233</v>
      </c>
      <c r="D17" s="1">
        <f>D$9/($K$9-$J$9-$I$9-$H$9)*-$H$17</f>
        <v>64518.530206389223</v>
      </c>
      <c r="E17" s="1">
        <f>E$9/($K$9-$J$9-$I$9-$H$9)*-$H$17</f>
        <v>955712.47170324938</v>
      </c>
      <c r="G17" s="1">
        <f>G$9/($K$9-$J$9-$I$9-$H$9)*-$H$17</f>
        <v>1535671.4346438544</v>
      </c>
      <c r="H17" s="1">
        <f>-H15</f>
        <v>-7656279.5398562774</v>
      </c>
      <c r="K17" s="1">
        <v>0</v>
      </c>
    </row>
    <row r="18" spans="1:11" x14ac:dyDescent="0.2">
      <c r="A18" t="s">
        <v>4</v>
      </c>
      <c r="B18" s="1">
        <f>+B15+B17</f>
        <v>28160344.859971546</v>
      </c>
      <c r="C18" s="1">
        <f>+C15+C17</f>
        <v>194965.83407083453</v>
      </c>
      <c r="D18" s="1">
        <f>+D15+D17</f>
        <v>358687.78572087467</v>
      </c>
      <c r="E18" s="1">
        <f>+E15+E17</f>
        <v>5313239.299848699</v>
      </c>
      <c r="G18" s="1">
        <f>+G15+G17</f>
        <v>8537494.3403880447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42564732.119999997</v>
      </c>
    </row>
    <row r="20" spans="1:11" x14ac:dyDescent="0.2">
      <c r="A20" t="s">
        <v>7</v>
      </c>
      <c r="B20" s="1">
        <f>B$9/($K$9-$J$9-$I$9-$H$9-$G$9)*-$G$20</f>
        <v>7065480.4960229238</v>
      </c>
      <c r="C20" s="1">
        <f>C$9/($K$9-$J$9-$I$9-$H$9-$G$9)*-$G$20</f>
        <v>48917.273736104195</v>
      </c>
      <c r="D20" s="1">
        <f>D$9/($K$9-$J$9-$I$9-$H$9-$G$9)*-$G$20</f>
        <v>89995.40193042405</v>
      </c>
      <c r="E20" s="1">
        <f>E$9/($K$9-$J$9-$I$9-$H$9-$G$9)*-$G$20</f>
        <v>1333101.1686985928</v>
      </c>
      <c r="G20" s="1">
        <f>-G18</f>
        <v>-8537494.3403880447</v>
      </c>
      <c r="K20" s="1">
        <f>SUM(B20:J20)</f>
        <v>0</v>
      </c>
    </row>
    <row r="22" spans="1:11" x14ac:dyDescent="0.2">
      <c r="A22" t="s">
        <v>8</v>
      </c>
      <c r="B22" s="1">
        <f>+B20+B18</f>
        <v>35225825.35599447</v>
      </c>
      <c r="C22" s="1">
        <f t="shared" ref="C22:K22" si="3">+C20+C18</f>
        <v>243883.10780693873</v>
      </c>
      <c r="D22" s="1">
        <f t="shared" si="3"/>
        <v>448683.18765129871</v>
      </c>
      <c r="E22" s="1">
        <f t="shared" si="3"/>
        <v>6646340.4685472921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42564732.119999997</v>
      </c>
    </row>
    <row r="27" spans="1:11" x14ac:dyDescent="0.2">
      <c r="A27" t="s">
        <v>9</v>
      </c>
      <c r="B27" s="1">
        <f>+B9</f>
        <v>16961840.620000001</v>
      </c>
    </row>
    <row r="28" spans="1:11" x14ac:dyDescent="0.2">
      <c r="A28" t="s">
        <v>10</v>
      </c>
      <c r="B28" s="1">
        <f>+B22-B27</f>
        <v>18263984.735994469</v>
      </c>
    </row>
    <row r="29" spans="1:11" x14ac:dyDescent="0.2">
      <c r="A29" s="29" t="s">
        <v>170</v>
      </c>
      <c r="B29" s="1">
        <v>3365</v>
      </c>
    </row>
    <row r="30" spans="1:11" x14ac:dyDescent="0.2">
      <c r="A30" t="s">
        <v>11</v>
      </c>
      <c r="B30" s="1">
        <f>+B28/B29</f>
        <v>5427.632908170719</v>
      </c>
    </row>
  </sheetData>
  <phoneticPr fontId="0" type="noConversion"/>
  <pageMargins left="0.64" right="0.55000000000000004" top="1" bottom="0.51" header="0.5" footer="0.5"/>
  <pageSetup scale="10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71287616.849999994</v>
      </c>
      <c r="C9" s="1">
        <f>'Master Expend Table'!C46</f>
        <v>1080577.3999999999</v>
      </c>
      <c r="D9" s="1">
        <f>'Master Expend Table'!D46</f>
        <v>1477697.99</v>
      </c>
      <c r="E9" s="1">
        <f>'Master Expend Table'!E46</f>
        <v>5153145.78</v>
      </c>
      <c r="G9" s="1">
        <f>'Master Expend Table'!G46</f>
        <v>20388054.93</v>
      </c>
      <c r="H9" s="1">
        <f>'Master Expend Table'!H46</f>
        <v>11616351.539999999</v>
      </c>
      <c r="I9" s="1">
        <f>'Master Expend Table'!I46</f>
        <v>22131616.620000001</v>
      </c>
      <c r="J9" s="1">
        <f>'Master Expend Table'!J46</f>
        <v>15180061.050000001</v>
      </c>
      <c r="K9" s="1">
        <f>SUM(B9:J9)</f>
        <v>148315122.16</v>
      </c>
    </row>
    <row r="11" spans="1:11" x14ac:dyDescent="0.2">
      <c r="A11" t="s">
        <v>3</v>
      </c>
      <c r="B11" s="1">
        <f>(B9/($K9-$J9))*-$J$11</f>
        <v>8128214.8133608839</v>
      </c>
      <c r="C11" s="1">
        <f t="shared" ref="C11:I11" si="0">(C9/($K9-$J9))*-$J$11</f>
        <v>123207.44636679477</v>
      </c>
      <c r="D11" s="1">
        <f t="shared" si="0"/>
        <v>168487.14016158902</v>
      </c>
      <c r="E11" s="1">
        <f t="shared" si="0"/>
        <v>587561.73533670511</v>
      </c>
      <c r="G11" s="1">
        <f t="shared" si="0"/>
        <v>2324646.2347919187</v>
      </c>
      <c r="H11" s="1">
        <f t="shared" si="0"/>
        <v>1324496.523194344</v>
      </c>
      <c r="I11" s="1">
        <f t="shared" si="0"/>
        <v>2523447.1567877638</v>
      </c>
      <c r="J11" s="1">
        <f>-J9</f>
        <v>-15180061.050000001</v>
      </c>
      <c r="K11" s="1">
        <v>0</v>
      </c>
    </row>
    <row r="12" spans="1:11" x14ac:dyDescent="0.2">
      <c r="A12" t="s">
        <v>4</v>
      </c>
      <c r="B12" s="1">
        <f>+B9+B11</f>
        <v>79415831.663360879</v>
      </c>
      <c r="C12" s="1">
        <f t="shared" ref="C12:J12" si="1">+C9+C11</f>
        <v>1203784.8463667948</v>
      </c>
      <c r="D12" s="1">
        <f t="shared" si="1"/>
        <v>1646185.130161589</v>
      </c>
      <c r="E12" s="1">
        <f t="shared" si="1"/>
        <v>5740707.5153367054</v>
      </c>
      <c r="G12" s="1">
        <f t="shared" si="1"/>
        <v>22712701.164791919</v>
      </c>
      <c r="H12" s="1">
        <f t="shared" si="1"/>
        <v>12940848.063194344</v>
      </c>
      <c r="I12" s="1">
        <f t="shared" si="1"/>
        <v>24655063.776787765</v>
      </c>
      <c r="J12" s="1">
        <f t="shared" si="1"/>
        <v>0</v>
      </c>
      <c r="K12" s="1">
        <f>SUM(B12:J12)</f>
        <v>148315122.16</v>
      </c>
    </row>
    <row r="14" spans="1:11" x14ac:dyDescent="0.2">
      <c r="A14" t="s">
        <v>5</v>
      </c>
      <c r="B14" s="1">
        <f>B$9/($K$9-$J$9-$I$9)*-I14</f>
        <v>15833749.556215776</v>
      </c>
      <c r="C14" s="1">
        <f t="shared" ref="C14:H14" si="2">C$9/($K$9-$J$9-$I$9)*-$I$14</f>
        <v>240007.90998116805</v>
      </c>
      <c r="D14" s="1">
        <f t="shared" si="2"/>
        <v>328212.68163046252</v>
      </c>
      <c r="E14" s="1">
        <f t="shared" si="2"/>
        <v>1144569.3279223461</v>
      </c>
      <c r="G14" s="1">
        <f t="shared" si="2"/>
        <v>4528407.1759510702</v>
      </c>
      <c r="H14" s="1">
        <f t="shared" si="2"/>
        <v>2580117.1250869422</v>
      </c>
      <c r="I14" s="1">
        <f>-I12</f>
        <v>-24655063.776787765</v>
      </c>
      <c r="K14" s="1">
        <v>0</v>
      </c>
    </row>
    <row r="15" spans="1:11" x14ac:dyDescent="0.2">
      <c r="A15" t="s">
        <v>4</v>
      </c>
      <c r="B15" s="1">
        <f>+B12+B14</f>
        <v>95249581.219576657</v>
      </c>
      <c r="C15" s="1">
        <f>+C12+C14</f>
        <v>1443792.7563479629</v>
      </c>
      <c r="D15" s="1">
        <f>+D12+D14</f>
        <v>1974397.8117920514</v>
      </c>
      <c r="E15" s="1">
        <f>+E12+E14</f>
        <v>6885276.8432590514</v>
      </c>
      <c r="G15" s="1">
        <f>+G12+G14</f>
        <v>27241108.34074299</v>
      </c>
      <c r="H15" s="1">
        <f>+H12+H14</f>
        <v>15520965.188281287</v>
      </c>
      <c r="I15" s="1">
        <f>+I12+I14</f>
        <v>0</v>
      </c>
      <c r="J15" s="1">
        <f>+J12+J14</f>
        <v>0</v>
      </c>
      <c r="K15" s="1">
        <f>SUM(B15:J15)</f>
        <v>148315122.16</v>
      </c>
    </row>
    <row r="17" spans="1:11" x14ac:dyDescent="0.2">
      <c r="A17" t="s">
        <v>6</v>
      </c>
      <c r="B17" s="1">
        <f>B$9/($K$9-$J$9-$I$9-$H$9)*-$H$17</f>
        <v>11132759.663682111</v>
      </c>
      <c r="C17" s="1">
        <f>C$9/($K$9-$J$9-$I$9-$H$9)*-$H$17</f>
        <v>168750.32472356365</v>
      </c>
      <c r="D17" s="1">
        <f>D$9/($K$9-$J$9-$I$9-$H$9)*-$H$17</f>
        <v>230767.3801579205</v>
      </c>
      <c r="E17" s="1">
        <f>E$9/($K$9-$J$9-$I$9-$H$9)*-$H$17</f>
        <v>804750.33414807846</v>
      </c>
      <c r="G17" s="1">
        <f>G$9/($K$9-$J$9-$I$9-$H$9)*-$H$17</f>
        <v>3183937.4855696158</v>
      </c>
      <c r="H17" s="1">
        <f>-H15</f>
        <v>-15520965.188281287</v>
      </c>
      <c r="K17" s="1">
        <v>0</v>
      </c>
    </row>
    <row r="18" spans="1:11" x14ac:dyDescent="0.2">
      <c r="A18" t="s">
        <v>4</v>
      </c>
      <c r="B18" s="1">
        <f>+B15+B17</f>
        <v>106382340.88325876</v>
      </c>
      <c r="C18" s="1">
        <f>+C15+C17</f>
        <v>1612543.0810715265</v>
      </c>
      <c r="D18" s="1">
        <f>+D15+D17</f>
        <v>2205165.191949972</v>
      </c>
      <c r="E18" s="1">
        <f>+E15+E17</f>
        <v>7690027.1774071297</v>
      </c>
      <c r="G18" s="1">
        <f>+G15+G17</f>
        <v>30425045.826312605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148315122.16</v>
      </c>
    </row>
    <row r="20" spans="1:11" x14ac:dyDescent="0.2">
      <c r="A20" t="s">
        <v>7</v>
      </c>
      <c r="B20" s="1">
        <f>B$9/($K$9-$J$9-$I$9-$H$9-$G$9)*-$G$20</f>
        <v>27455131.908831123</v>
      </c>
      <c r="C20" s="1">
        <f>C$9/($K$9-$J$9-$I$9-$H$9-$G$9)*-$G$20</f>
        <v>416164.77539327042</v>
      </c>
      <c r="D20" s="1">
        <f>D$9/($K$9-$J$9-$I$9-$H$9-$G$9)*-$G$20</f>
        <v>569108.5637247616</v>
      </c>
      <c r="E20" s="1">
        <f>E$9/($K$9-$J$9-$I$9-$H$9-$G$9)*-$G$20</f>
        <v>1984640.5783634561</v>
      </c>
      <c r="G20" s="1">
        <f>-G18</f>
        <v>-30425045.826312605</v>
      </c>
      <c r="K20" s="1">
        <f>SUM(B20:J20)</f>
        <v>0</v>
      </c>
    </row>
    <row r="22" spans="1:11" x14ac:dyDescent="0.2">
      <c r="A22" t="s">
        <v>8</v>
      </c>
      <c r="B22" s="1">
        <f>+B20+B18</f>
        <v>133837472.79208988</v>
      </c>
      <c r="C22" s="1">
        <f t="shared" ref="C22:K22" si="3">+C20+C18</f>
        <v>2028707.8564647969</v>
      </c>
      <c r="D22" s="1">
        <f t="shared" si="3"/>
        <v>2774273.7556747338</v>
      </c>
      <c r="E22" s="1">
        <f t="shared" si="3"/>
        <v>9674667.7557705864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148315122.16</v>
      </c>
    </row>
    <row r="27" spans="1:11" x14ac:dyDescent="0.2">
      <c r="A27" t="s">
        <v>9</v>
      </c>
      <c r="B27" s="1">
        <f>+B9</f>
        <v>71287616.849999994</v>
      </c>
    </row>
    <row r="28" spans="1:11" x14ac:dyDescent="0.2">
      <c r="A28" t="s">
        <v>10</v>
      </c>
      <c r="B28" s="1">
        <f>+B22-B27</f>
        <v>62549855.942089885</v>
      </c>
    </row>
    <row r="29" spans="1:11" x14ac:dyDescent="0.2">
      <c r="A29" s="29" t="s">
        <v>170</v>
      </c>
      <c r="B29" s="1">
        <v>9547</v>
      </c>
    </row>
    <row r="30" spans="1:11" x14ac:dyDescent="0.2">
      <c r="A30" t="s">
        <v>11</v>
      </c>
      <c r="B30" s="1">
        <f>+B28/B29</f>
        <v>6551.7812864868429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16829721.370000001</v>
      </c>
      <c r="C9" s="1">
        <f>'Master Expend Table'!C47</f>
        <v>0</v>
      </c>
      <c r="D9" s="1">
        <f>'Master Expend Table'!D47</f>
        <v>741838.98</v>
      </c>
      <c r="E9" s="1">
        <f>'Master Expend Table'!E47</f>
        <v>0</v>
      </c>
      <c r="G9" s="1">
        <f>'Master Expend Table'!G47</f>
        <v>4111417.28</v>
      </c>
      <c r="H9" s="1">
        <f>'Master Expend Table'!H47</f>
        <v>3534101.21</v>
      </c>
      <c r="I9" s="1">
        <f>'Master Expend Table'!I47</f>
        <v>4279289.5599999996</v>
      </c>
      <c r="J9" s="1">
        <f>'Master Expend Table'!J47</f>
        <v>3419452.23</v>
      </c>
      <c r="K9" s="1">
        <f>SUM(B9:J9)</f>
        <v>32915820.630000003</v>
      </c>
    </row>
    <row r="11" spans="1:11" x14ac:dyDescent="0.2">
      <c r="A11" t="s">
        <v>3</v>
      </c>
      <c r="B11" s="1">
        <f>(B9/($K9-$J9))*-$J$11</f>
        <v>1951034.3608579675</v>
      </c>
      <c r="C11" s="1">
        <f t="shared" ref="C11:I11" si="0">(C9/($K9-$J9))*-$J$11</f>
        <v>0</v>
      </c>
      <c r="D11" s="1">
        <f t="shared" si="0"/>
        <v>85999.83971118035</v>
      </c>
      <c r="E11" s="1">
        <f t="shared" si="0"/>
        <v>0</v>
      </c>
      <c r="G11" s="1">
        <f t="shared" si="0"/>
        <v>476627.99690813915</v>
      </c>
      <c r="H11" s="1">
        <f t="shared" si="0"/>
        <v>409700.9536801214</v>
      </c>
      <c r="I11" s="1">
        <f t="shared" si="0"/>
        <v>496089.07884259126</v>
      </c>
      <c r="J11" s="1">
        <f>-J9</f>
        <v>-3419452.23</v>
      </c>
      <c r="K11" s="1">
        <v>0</v>
      </c>
    </row>
    <row r="12" spans="1:11" x14ac:dyDescent="0.2">
      <c r="A12" t="s">
        <v>4</v>
      </c>
      <c r="B12" s="1">
        <f>+B9+B11</f>
        <v>18780755.730857968</v>
      </c>
      <c r="C12" s="1">
        <f t="shared" ref="C12:J12" si="1">+C9+C11</f>
        <v>0</v>
      </c>
      <c r="D12" s="1">
        <f t="shared" si="1"/>
        <v>827838.81971118029</v>
      </c>
      <c r="E12" s="1">
        <f t="shared" si="1"/>
        <v>0</v>
      </c>
      <c r="G12" s="1">
        <f t="shared" si="1"/>
        <v>4588045.2769081388</v>
      </c>
      <c r="H12" s="1">
        <f t="shared" si="1"/>
        <v>3943802.1636801213</v>
      </c>
      <c r="I12" s="1">
        <f t="shared" si="1"/>
        <v>4775378.6388425911</v>
      </c>
      <c r="J12" s="1">
        <f t="shared" si="1"/>
        <v>0</v>
      </c>
      <c r="K12" s="1">
        <f>SUM(B12:J12)</f>
        <v>32915820.629999995</v>
      </c>
    </row>
    <row r="14" spans="1:11" x14ac:dyDescent="0.2">
      <c r="A14" t="s">
        <v>5</v>
      </c>
      <c r="B14" s="1">
        <f>B$9/($K$9-$J$9-$I$9)*-I14</f>
        <v>3187057.9632914639</v>
      </c>
      <c r="C14" s="1">
        <f t="shared" ref="C14:H14" si="2">C$9/($K$9-$J$9-$I$9)*-$I$14</f>
        <v>0</v>
      </c>
      <c r="D14" s="1">
        <f t="shared" si="2"/>
        <v>140482.64832853954</v>
      </c>
      <c r="E14" s="1">
        <f t="shared" si="2"/>
        <v>0</v>
      </c>
      <c r="G14" s="1">
        <f t="shared" si="2"/>
        <v>778582.41943301575</v>
      </c>
      <c r="H14" s="1">
        <f t="shared" si="2"/>
        <v>669255.60778957186</v>
      </c>
      <c r="I14" s="1">
        <f>-I12</f>
        <v>-4775378.6388425911</v>
      </c>
      <c r="K14" s="1">
        <v>0</v>
      </c>
    </row>
    <row r="15" spans="1:11" x14ac:dyDescent="0.2">
      <c r="A15" t="s">
        <v>4</v>
      </c>
      <c r="B15" s="1">
        <f>+B12+B14</f>
        <v>21967813.694149431</v>
      </c>
      <c r="C15" s="1">
        <f>+C12+C14</f>
        <v>0</v>
      </c>
      <c r="D15" s="1">
        <f>+D12+D14</f>
        <v>968321.46803971985</v>
      </c>
      <c r="E15" s="1">
        <f>+E12+E14</f>
        <v>0</v>
      </c>
      <c r="G15" s="1">
        <f>+G12+G14</f>
        <v>5366627.6963411542</v>
      </c>
      <c r="H15" s="1">
        <f>+H12+H14</f>
        <v>4613057.7714696936</v>
      </c>
      <c r="I15" s="1">
        <f>+I12+I14</f>
        <v>0</v>
      </c>
      <c r="J15" s="1">
        <f>+J12+J14</f>
        <v>0</v>
      </c>
      <c r="K15" s="1">
        <f>SUM(B15:J15)</f>
        <v>32915820.629999999</v>
      </c>
    </row>
    <row r="17" spans="1:11" x14ac:dyDescent="0.2">
      <c r="A17" t="s">
        <v>6</v>
      </c>
      <c r="B17" s="1">
        <f>B$9/($K$9-$J$9-$I$9-$H$9)*-$H$17</f>
        <v>3580526.5440172884</v>
      </c>
      <c r="C17" s="1">
        <f>C$9/($K$9-$J$9-$I$9-$H$9)*-$H$17</f>
        <v>0</v>
      </c>
      <c r="D17" s="1">
        <f>D$9/($K$9-$J$9-$I$9-$H$9)*-$H$17</f>
        <v>157826.3894500061</v>
      </c>
      <c r="E17" s="1">
        <f>E$9/($K$9-$J$9-$I$9-$H$9)*-$H$17</f>
        <v>0</v>
      </c>
      <c r="G17" s="1">
        <f>G$9/($K$9-$J$9-$I$9-$H$9)*-$H$17</f>
        <v>874704.83800239884</v>
      </c>
      <c r="H17" s="1">
        <f>-H15</f>
        <v>-4613057.7714696936</v>
      </c>
      <c r="K17" s="1">
        <v>0</v>
      </c>
    </row>
    <row r="18" spans="1:11" x14ac:dyDescent="0.2">
      <c r="A18" t="s">
        <v>4</v>
      </c>
      <c r="B18" s="1">
        <f>+B15+B17</f>
        <v>25548340.23816672</v>
      </c>
      <c r="C18" s="1">
        <f>+C15+C17</f>
        <v>0</v>
      </c>
      <c r="D18" s="1">
        <f>+D15+D17</f>
        <v>1126147.857489726</v>
      </c>
      <c r="E18" s="1">
        <f>+E15+E17</f>
        <v>0</v>
      </c>
      <c r="G18" s="1">
        <f>+G15+G17</f>
        <v>6241332.5343435528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32915820.629999999</v>
      </c>
    </row>
    <row r="20" spans="1:11" x14ac:dyDescent="0.2">
      <c r="A20" t="s">
        <v>7</v>
      </c>
      <c r="B20" s="1">
        <f>B$9/($K$9-$J$9-$I$9-$H$9-$G$9)*-$G$20</f>
        <v>5977834.9468274703</v>
      </c>
      <c r="C20" s="1">
        <f>C$9/($K$9-$J$9-$I$9-$H$9-$G$9)*-$G$20</f>
        <v>0</v>
      </c>
      <c r="D20" s="1">
        <f>D$9/($K$9-$J$9-$I$9-$H$9-$G$9)*-$G$20</f>
        <v>263497.58751608164</v>
      </c>
      <c r="E20" s="1">
        <f>E$9/($K$9-$J$9-$I$9-$H$9-$G$9)*-$G$20</f>
        <v>0</v>
      </c>
      <c r="G20" s="1">
        <f>-G18</f>
        <v>-6241332.5343435528</v>
      </c>
      <c r="K20" s="1">
        <f>SUM(B20:J20)</f>
        <v>0</v>
      </c>
    </row>
    <row r="22" spans="1:11" x14ac:dyDescent="0.2">
      <c r="A22" t="s">
        <v>8</v>
      </c>
      <c r="B22" s="1">
        <f>+B20+B18</f>
        <v>31526175.184994191</v>
      </c>
      <c r="C22" s="1">
        <f t="shared" ref="C22:K22" si="3">+C20+C18</f>
        <v>0</v>
      </c>
      <c r="D22" s="1">
        <f t="shared" si="3"/>
        <v>1389645.4450058076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32915820.629999999</v>
      </c>
    </row>
    <row r="27" spans="1:11" x14ac:dyDescent="0.2">
      <c r="A27" t="s">
        <v>9</v>
      </c>
      <c r="B27" s="1">
        <f>+B9</f>
        <v>16829721.370000001</v>
      </c>
    </row>
    <row r="28" spans="1:11" x14ac:dyDescent="0.2">
      <c r="A28" t="s">
        <v>10</v>
      </c>
      <c r="B28" s="1">
        <f>+B22-B27</f>
        <v>14696453.81499419</v>
      </c>
    </row>
    <row r="29" spans="1:11" x14ac:dyDescent="0.2">
      <c r="A29" s="29" t="s">
        <v>170</v>
      </c>
      <c r="B29" s="1">
        <v>3065</v>
      </c>
    </row>
    <row r="30" spans="1:11" x14ac:dyDescent="0.2">
      <c r="A30" t="s">
        <v>11</v>
      </c>
      <c r="B30" s="1">
        <f>+B28/B29</f>
        <v>4794.9278352346464</v>
      </c>
    </row>
  </sheetData>
  <phoneticPr fontId="0" type="noConversion"/>
  <pageMargins left="0.57999999999999996" right="0.55000000000000004" top="1" bottom="0.5" header="0.5" footer="0.5"/>
  <pageSetup scale="10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I24" sqref="I2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Table'!B48</f>
        <v>48929035.469999999</v>
      </c>
      <c r="C9" s="1">
        <f>'Master Expend Table'!C48</f>
        <v>50716.18</v>
      </c>
      <c r="D9" s="1">
        <f>'Master Expend Table'!D48</f>
        <v>198225.61</v>
      </c>
      <c r="E9" s="1">
        <f>'Master Expend Table'!E48</f>
        <v>3338658.62</v>
      </c>
      <c r="G9" s="1">
        <f>'Master Expend Table'!G48</f>
        <v>13905545.01</v>
      </c>
      <c r="H9" s="1">
        <f>'Master Expend Table'!H48</f>
        <v>7366811.6200000001</v>
      </c>
      <c r="I9" s="1">
        <f>'Master Expend Table'!I48</f>
        <v>17737862.550000001</v>
      </c>
      <c r="J9" s="1">
        <f>'Master Expend Table'!J48</f>
        <v>9912639.0800000001</v>
      </c>
      <c r="K9" s="1">
        <f>SUM(B9:J9)</f>
        <v>101439494.13999999</v>
      </c>
    </row>
    <row r="11" spans="1:11" x14ac:dyDescent="0.2">
      <c r="A11" t="s">
        <v>3</v>
      </c>
      <c r="B11" s="1">
        <f>(B9/($K9-$J9))*-$J$11</f>
        <v>5299164.5875811893</v>
      </c>
      <c r="C11" s="1">
        <f t="shared" ref="C11:I11" si="0">(C9/($K9-$J9))*-$J$11</f>
        <v>5492.7178206522167</v>
      </c>
      <c r="D11" s="1">
        <f t="shared" si="0"/>
        <v>21468.44144327621</v>
      </c>
      <c r="E11" s="1">
        <f t="shared" si="0"/>
        <v>361586.96690381918</v>
      </c>
      <c r="G11" s="1">
        <f t="shared" si="0"/>
        <v>1506013.1674410119</v>
      </c>
      <c r="H11" s="1">
        <f t="shared" si="0"/>
        <v>797848.28957074089</v>
      </c>
      <c r="I11" s="1">
        <f t="shared" si="0"/>
        <v>1921064.909239311</v>
      </c>
      <c r="J11" s="1">
        <f>-J9</f>
        <v>-9912639.0800000001</v>
      </c>
      <c r="K11" s="1">
        <v>0</v>
      </c>
    </row>
    <row r="12" spans="1:11" x14ac:dyDescent="0.2">
      <c r="A12" t="s">
        <v>4</v>
      </c>
      <c r="B12" s="1">
        <f>+B9+B11</f>
        <v>54228200.057581186</v>
      </c>
      <c r="C12" s="1">
        <f t="shared" ref="C12:J12" si="1">+C9+C11</f>
        <v>56208.897820652215</v>
      </c>
      <c r="D12" s="1">
        <f t="shared" si="1"/>
        <v>219694.0514432762</v>
      </c>
      <c r="E12" s="1">
        <f t="shared" si="1"/>
        <v>3700245.5869038193</v>
      </c>
      <c r="G12" s="1">
        <f t="shared" si="1"/>
        <v>15411558.177441012</v>
      </c>
      <c r="H12" s="1">
        <f t="shared" si="1"/>
        <v>8164659.9095707405</v>
      </c>
      <c r="I12" s="1">
        <f t="shared" si="1"/>
        <v>19658927.459239312</v>
      </c>
      <c r="J12" s="1">
        <f t="shared" si="1"/>
        <v>0</v>
      </c>
      <c r="K12" s="1">
        <f>SUM(B12:J12)</f>
        <v>101439494.13999999</v>
      </c>
    </row>
    <row r="14" spans="1:11" x14ac:dyDescent="0.2">
      <c r="A14" t="s">
        <v>5</v>
      </c>
      <c r="B14" s="1">
        <f>B$9/($K$9-$J$9-$I$9)*-I14</f>
        <v>13035716.117480803</v>
      </c>
      <c r="C14" s="1">
        <f t="shared" ref="C14:H14" si="2">C$9/($K$9-$J$9-$I$9)*-$I$14</f>
        <v>13511.848715031652</v>
      </c>
      <c r="D14" s="1">
        <f t="shared" si="2"/>
        <v>52811.439145552082</v>
      </c>
      <c r="E14" s="1">
        <f t="shared" si="2"/>
        <v>889488.32866703195</v>
      </c>
      <c r="G14" s="1">
        <f t="shared" si="2"/>
        <v>3704727.3764542853</v>
      </c>
      <c r="H14" s="1">
        <f t="shared" si="2"/>
        <v>1962672.3487766082</v>
      </c>
      <c r="I14" s="1">
        <f>-I12</f>
        <v>-19658927.459239312</v>
      </c>
      <c r="K14" s="1">
        <v>0</v>
      </c>
    </row>
    <row r="15" spans="1:11" x14ac:dyDescent="0.2">
      <c r="A15" t="s">
        <v>4</v>
      </c>
      <c r="B15" s="1">
        <f>+B12+B14</f>
        <v>67263916.175061986</v>
      </c>
      <c r="C15" s="1">
        <f>+C12+C14</f>
        <v>69720.746535683866</v>
      </c>
      <c r="D15" s="1">
        <f>+D12+D14</f>
        <v>272505.49058882828</v>
      </c>
      <c r="E15" s="1">
        <f>+E12+E14</f>
        <v>4589733.9155708514</v>
      </c>
      <c r="G15" s="1">
        <f>+G12+G14</f>
        <v>19116285.553895298</v>
      </c>
      <c r="H15" s="1">
        <f>+H12+H14</f>
        <v>10127332.258347349</v>
      </c>
      <c r="I15" s="1">
        <f>+I12+I14</f>
        <v>0</v>
      </c>
      <c r="J15" s="1">
        <f>+J12+J14</f>
        <v>0</v>
      </c>
      <c r="K15" s="1">
        <f>SUM(B15:J15)</f>
        <v>101439494.14</v>
      </c>
    </row>
    <row r="17" spans="1:11" x14ac:dyDescent="0.2">
      <c r="A17" t="s">
        <v>6</v>
      </c>
      <c r="B17" s="1">
        <f>B$9/($K$9-$J$9-$I$9-$H$9)*-$H$17</f>
        <v>7460167.5621848544</v>
      </c>
      <c r="C17" s="1">
        <f>C$9/($K$9-$J$9-$I$9-$H$9)*-$H$17</f>
        <v>7732.651937230763</v>
      </c>
      <c r="D17" s="1">
        <f>D$9/($K$9-$J$9-$I$9-$H$9)*-$H$17</f>
        <v>30223.286674494208</v>
      </c>
      <c r="E17" s="1">
        <f>E$9/($K$9-$J$9-$I$9-$H$9)*-$H$17</f>
        <v>509042.38145883993</v>
      </c>
      <c r="G17" s="1">
        <f>G$9/($K$9-$J$9-$I$9-$H$9)*-$H$17</f>
        <v>2120166.3760919315</v>
      </c>
      <c r="H17" s="1">
        <f>-H15</f>
        <v>-10127332.258347349</v>
      </c>
      <c r="K17" s="1">
        <v>0</v>
      </c>
    </row>
    <row r="18" spans="1:11" x14ac:dyDescent="0.2">
      <c r="A18" t="s">
        <v>4</v>
      </c>
      <c r="B18" s="1">
        <f>+B15+B17</f>
        <v>74724083.737246841</v>
      </c>
      <c r="C18" s="1">
        <f>+C15+C17</f>
        <v>77453.398472914632</v>
      </c>
      <c r="D18" s="1">
        <f>+D15+D17</f>
        <v>302728.7772633225</v>
      </c>
      <c r="E18" s="1">
        <f>+E15+E17</f>
        <v>5098776.2970296917</v>
      </c>
      <c r="G18" s="1">
        <f>+G15+G17</f>
        <v>21236451.929987229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101439494.14000002</v>
      </c>
    </row>
    <row r="20" spans="1:11" x14ac:dyDescent="0.2">
      <c r="A20" t="s">
        <v>7</v>
      </c>
      <c r="B20" s="1">
        <f>B$9/($K$9-$J$9-$I$9-$H$9-$G$9)*-$G$20</f>
        <v>19785713.466368653</v>
      </c>
      <c r="C20" s="1">
        <f>C$9/($K$9-$J$9-$I$9-$H$9-$G$9)*-$G$20</f>
        <v>20508.391304873123</v>
      </c>
      <c r="D20" s="1">
        <f>D$9/($K$9-$J$9-$I$9-$H$9-$G$9)*-$G$20</f>
        <v>80157.621818661617</v>
      </c>
      <c r="E20" s="1">
        <f>E$9/($K$9-$J$9-$I$9-$H$9-$G$9)*-$G$20</f>
        <v>1350072.4504950433</v>
      </c>
      <c r="G20" s="1">
        <f>-G18</f>
        <v>-21236451.929987229</v>
      </c>
      <c r="K20" s="1">
        <f>SUM(B20:J20)</f>
        <v>0</v>
      </c>
    </row>
    <row r="22" spans="1:11" x14ac:dyDescent="0.2">
      <c r="A22" t="s">
        <v>8</v>
      </c>
      <c r="B22" s="1">
        <f>+B20+B18</f>
        <v>94509797.203615487</v>
      </c>
      <c r="C22" s="1">
        <f t="shared" ref="C22:K22" si="3">+C20+C18</f>
        <v>97961.789777787752</v>
      </c>
      <c r="D22" s="1">
        <f t="shared" si="3"/>
        <v>382886.39908198413</v>
      </c>
      <c r="E22" s="1">
        <f t="shared" si="3"/>
        <v>6448848.7475247346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101439494.14000002</v>
      </c>
    </row>
    <row r="27" spans="1:11" x14ac:dyDescent="0.2">
      <c r="A27" t="s">
        <v>9</v>
      </c>
      <c r="B27" s="1">
        <f>+B9</f>
        <v>48929035.469999999</v>
      </c>
    </row>
    <row r="28" spans="1:11" x14ac:dyDescent="0.2">
      <c r="A28" t="s">
        <v>10</v>
      </c>
      <c r="B28" s="1">
        <f>+B22-B27</f>
        <v>45580761.733615488</v>
      </c>
    </row>
    <row r="29" spans="1:11" x14ac:dyDescent="0.2">
      <c r="A29" s="29" t="s">
        <v>170</v>
      </c>
      <c r="B29" s="1">
        <v>7049</v>
      </c>
    </row>
    <row r="30" spans="1:11" x14ac:dyDescent="0.2">
      <c r="A30" t="s">
        <v>11</v>
      </c>
      <c r="B30" s="1">
        <f>+B28/B29</f>
        <v>6466.2734761832162</v>
      </c>
    </row>
  </sheetData>
  <phoneticPr fontId="0" type="noConversion"/>
  <pageMargins left="0.61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6" sqref="C6:D46"/>
    </sheetView>
  </sheetViews>
  <sheetFormatPr defaultColWidth="9.140625" defaultRowHeight="12" x14ac:dyDescent="0.2"/>
  <cols>
    <col min="1" max="1" width="9.140625" style="27"/>
    <col min="2" max="2" width="34.140625" style="12" customWidth="1"/>
    <col min="3" max="3" width="10.5703125" style="28" bestFit="1" customWidth="1"/>
    <col min="4" max="16384" width="9.140625" style="12"/>
  </cols>
  <sheetData>
    <row r="1" spans="1:4" x14ac:dyDescent="0.2">
      <c r="B1" s="14" t="s">
        <v>69</v>
      </c>
    </row>
    <row r="2" spans="1:4" x14ac:dyDescent="0.2">
      <c r="B2" s="14" t="s">
        <v>172</v>
      </c>
    </row>
    <row r="5" spans="1:4" x14ac:dyDescent="0.2">
      <c r="A5" s="42" t="s">
        <v>122</v>
      </c>
      <c r="B5" s="13" t="s">
        <v>35</v>
      </c>
      <c r="C5" s="32" t="s">
        <v>10</v>
      </c>
      <c r="D5" s="33" t="s">
        <v>11</v>
      </c>
    </row>
    <row r="6" spans="1:4" x14ac:dyDescent="0.2">
      <c r="A6" s="42" t="s">
        <v>123</v>
      </c>
      <c r="B6" s="34" t="s">
        <v>110</v>
      </c>
      <c r="C6" s="32">
        <f>'ALEX TC'!B28</f>
        <v>11388473.252351044</v>
      </c>
      <c r="D6" s="32">
        <f>'ALEX TC'!B30</f>
        <v>6586.7398799022812</v>
      </c>
    </row>
    <row r="7" spans="1:4" x14ac:dyDescent="0.2">
      <c r="A7" s="42" t="s">
        <v>124</v>
      </c>
      <c r="B7" s="15" t="s">
        <v>111</v>
      </c>
      <c r="C7" s="32">
        <f>ARCCATC!B28</f>
        <v>34639407.082535081</v>
      </c>
      <c r="D7" s="32">
        <f>ARCCATC!B30</f>
        <v>5194.8720879626699</v>
      </c>
    </row>
    <row r="8" spans="1:4" x14ac:dyDescent="0.2">
      <c r="A8" s="42" t="s">
        <v>124</v>
      </c>
      <c r="B8" s="34" t="s">
        <v>71</v>
      </c>
      <c r="C8" s="32">
        <f>'ANOKARAM CC'!B28</f>
        <v>27308618.295792311</v>
      </c>
      <c r="D8" s="32">
        <f>'ANOKARAM CC'!B30</f>
        <v>5131.2698789538354</v>
      </c>
    </row>
    <row r="9" spans="1:4" x14ac:dyDescent="0.2">
      <c r="A9" s="42" t="s">
        <v>128</v>
      </c>
      <c r="B9" s="34" t="s">
        <v>72</v>
      </c>
      <c r="C9" s="35">
        <f>'ANOKA TC'!B28</f>
        <v>7250987.0103885401</v>
      </c>
      <c r="D9" s="35">
        <f>'ANOKA TC'!B30</f>
        <v>5387.0631577923778</v>
      </c>
    </row>
    <row r="10" spans="1:4" ht="24" x14ac:dyDescent="0.2">
      <c r="A10" s="42" t="s">
        <v>129</v>
      </c>
      <c r="B10" s="36" t="s">
        <v>77</v>
      </c>
      <c r="C10" s="32">
        <f>C11+C12</f>
        <v>28253743.391021851</v>
      </c>
      <c r="D10" s="35">
        <f>'BSU &amp; TC'!B30</f>
        <v>6097.7267299546911</v>
      </c>
    </row>
    <row r="11" spans="1:4" x14ac:dyDescent="0.2">
      <c r="A11" s="42" t="s">
        <v>129</v>
      </c>
      <c r="B11" s="36" t="s">
        <v>75</v>
      </c>
      <c r="C11" s="35">
        <f>'BEMIDJI SU'!B28</f>
        <v>24085640.524912246</v>
      </c>
      <c r="D11" s="35">
        <f>'BEMIDJI SU'!B30</f>
        <v>5922.2130624323199</v>
      </c>
    </row>
    <row r="12" spans="1:4" x14ac:dyDescent="0.2">
      <c r="A12" s="42" t="s">
        <v>130</v>
      </c>
      <c r="B12" s="36" t="s">
        <v>76</v>
      </c>
      <c r="C12" s="35">
        <f>'NTC-Bemidji'!B28</f>
        <v>4168102.8661096063</v>
      </c>
      <c r="D12" s="35">
        <f>'NTC-Bemidji'!B30</f>
        <v>7390.253308704976</v>
      </c>
    </row>
    <row r="13" spans="1:4" x14ac:dyDescent="0.2">
      <c r="A13" s="42" t="s">
        <v>131</v>
      </c>
      <c r="B13" s="34" t="s">
        <v>39</v>
      </c>
      <c r="C13" s="35">
        <f>'CENTRAL LAKES'!B28</f>
        <v>12300882.23416144</v>
      </c>
      <c r="D13" s="35">
        <f>'CENTRAL LAKES'!B30</f>
        <v>4648.859498927226</v>
      </c>
    </row>
    <row r="14" spans="1:4" ht="10.5" customHeight="1" x14ac:dyDescent="0.2">
      <c r="A14" s="42" t="s">
        <v>132</v>
      </c>
      <c r="B14" s="34" t="s">
        <v>40</v>
      </c>
      <c r="C14" s="35">
        <f>CENTURY!B28</f>
        <v>28086973.777398847</v>
      </c>
      <c r="D14" s="35">
        <f>CENTURY!B30</f>
        <v>4752.449031708773</v>
      </c>
    </row>
    <row r="15" spans="1:4" ht="24" x14ac:dyDescent="0.2">
      <c r="A15" s="42" t="s">
        <v>133</v>
      </c>
      <c r="B15" s="34" t="s">
        <v>160</v>
      </c>
      <c r="C15" s="35">
        <f>Sheet2!B28</f>
        <v>25155605.466869146</v>
      </c>
      <c r="D15" s="35">
        <f>Sheet2!B30</f>
        <v>5502.1009332609683</v>
      </c>
    </row>
    <row r="16" spans="1:4" x14ac:dyDescent="0.2">
      <c r="A16" s="42" t="s">
        <v>133</v>
      </c>
      <c r="B16" s="36" t="s">
        <v>78</v>
      </c>
      <c r="C16" s="35">
        <f>'DAKCTY TC'!B28</f>
        <v>10311645.485022021</v>
      </c>
      <c r="D16" s="35">
        <f>'DAKCTY TC'!B30</f>
        <v>5418.626108787189</v>
      </c>
    </row>
    <row r="17" spans="1:4" x14ac:dyDescent="0.2">
      <c r="A17" s="42" t="s">
        <v>134</v>
      </c>
      <c r="B17" s="36" t="s">
        <v>79</v>
      </c>
      <c r="C17" s="35">
        <f>'FDL CC'!B28</f>
        <v>4767922.4964427464</v>
      </c>
      <c r="D17" s="35">
        <f>'FDL CC'!B30</f>
        <v>5512.0491288355452</v>
      </c>
    </row>
    <row r="18" spans="1:4" x14ac:dyDescent="0.2">
      <c r="A18" s="42" t="s">
        <v>135</v>
      </c>
      <c r="B18" s="36" t="s">
        <v>80</v>
      </c>
      <c r="C18" s="35">
        <f>'HENN TC'!B28</f>
        <v>19496101.824882999</v>
      </c>
      <c r="D18" s="35">
        <f>'HENN TC'!B30</f>
        <v>6617.8213933750849</v>
      </c>
    </row>
    <row r="19" spans="1:4" x14ac:dyDescent="0.2">
      <c r="A19" s="42" t="s">
        <v>127</v>
      </c>
      <c r="B19" s="36" t="s">
        <v>81</v>
      </c>
      <c r="C19" s="35">
        <f>'INVER HILLS'!B28</f>
        <v>14950393.63326961</v>
      </c>
      <c r="D19" s="35">
        <f>'INVER HILLS'!B30</f>
        <v>5601.4963032107944</v>
      </c>
    </row>
    <row r="20" spans="1:4" x14ac:dyDescent="0.2">
      <c r="A20" s="42" t="s">
        <v>136</v>
      </c>
      <c r="B20" s="34" t="s">
        <v>41</v>
      </c>
      <c r="C20" s="35">
        <f>'LAKE SUPERIOR'!B28</f>
        <v>14713055.641583409</v>
      </c>
      <c r="D20" s="35">
        <f>'LAKE SUPERIOR'!B30</f>
        <v>4752.2789539998093</v>
      </c>
    </row>
    <row r="21" spans="1:4" x14ac:dyDescent="0.2">
      <c r="A21" s="42" t="s">
        <v>137</v>
      </c>
      <c r="B21" s="37" t="s">
        <v>82</v>
      </c>
      <c r="C21" s="35">
        <f>'METRO SU'!B28</f>
        <v>51112764.601551607</v>
      </c>
      <c r="D21" s="35">
        <f>'METRO SU'!B30</f>
        <v>8771.7117902096452</v>
      </c>
    </row>
    <row r="22" spans="1:4" x14ac:dyDescent="0.2">
      <c r="A22" s="42" t="s">
        <v>138</v>
      </c>
      <c r="B22" s="37" t="s">
        <v>83</v>
      </c>
      <c r="C22" s="35">
        <f>'MPLS COLLEGE'!B28</f>
        <v>26885629.749808416</v>
      </c>
      <c r="D22" s="35">
        <f>'MPLS COLLEGE'!B30</f>
        <v>5927.1670524268993</v>
      </c>
    </row>
    <row r="23" spans="1:4" x14ac:dyDescent="0.2">
      <c r="A23" s="42" t="s">
        <v>139</v>
      </c>
      <c r="B23" s="37" t="s">
        <v>84</v>
      </c>
      <c r="C23" s="35">
        <f>'MN SC-SOUTHEAST'!B28</f>
        <v>7863591.9484156976</v>
      </c>
      <c r="D23" s="35">
        <f>'MN SC-SOUTHEAST'!B30</f>
        <v>6796.5358240412252</v>
      </c>
    </row>
    <row r="24" spans="1:4" x14ac:dyDescent="0.2">
      <c r="A24" s="42" t="s">
        <v>140</v>
      </c>
      <c r="B24" s="37" t="s">
        <v>85</v>
      </c>
      <c r="C24" s="35">
        <f>'MINNESOTA STATE COLLEGE'!B28</f>
        <v>19186844.857421022</v>
      </c>
      <c r="D24" s="35">
        <f>'MINNESOTA STATE COLLEGE'!B30</f>
        <v>5166.0863913357625</v>
      </c>
    </row>
    <row r="25" spans="1:4" x14ac:dyDescent="0.2">
      <c r="A25" s="42" t="s">
        <v>141</v>
      </c>
      <c r="B25" s="37" t="s">
        <v>112</v>
      </c>
      <c r="C25" s="35">
        <f>'MSU MOORHEAD'!B28</f>
        <v>32994131.384791173</v>
      </c>
      <c r="D25" s="35">
        <f>'MSU MOORHEAD'!B30</f>
        <v>6386.7850144775794</v>
      </c>
    </row>
    <row r="26" spans="1:4" x14ac:dyDescent="0.2">
      <c r="A26" s="42" t="s">
        <v>142</v>
      </c>
      <c r="B26" s="37" t="s">
        <v>113</v>
      </c>
      <c r="C26" s="35">
        <f>'MSU MANKATO'!B28</f>
        <v>79498216.650342196</v>
      </c>
      <c r="D26" s="35">
        <f>'MSU MANKATO'!B30</f>
        <v>6021.6797947539917</v>
      </c>
    </row>
    <row r="27" spans="1:4" x14ac:dyDescent="0.2">
      <c r="A27" s="42" t="s">
        <v>143</v>
      </c>
      <c r="B27" s="37" t="s">
        <v>114</v>
      </c>
      <c r="C27" s="35">
        <f>'MN WEST'!B28</f>
        <v>10764815.113285832</v>
      </c>
      <c r="D27" s="35">
        <f>'MN WEST'!B30</f>
        <v>5450.5392978662439</v>
      </c>
    </row>
    <row r="28" spans="1:4" x14ac:dyDescent="0.2">
      <c r="A28" s="42" t="s">
        <v>144</v>
      </c>
      <c r="B28" s="37" t="s">
        <v>86</v>
      </c>
      <c r="C28" s="35">
        <f>NORMANDALE!B28</f>
        <v>29725016.766661182</v>
      </c>
      <c r="D28" s="35">
        <f>NORMANDALE!B30</f>
        <v>4386.8088498614497</v>
      </c>
    </row>
    <row r="29" spans="1:4" x14ac:dyDescent="0.2">
      <c r="A29" s="42" t="s">
        <v>125</v>
      </c>
      <c r="B29" s="37" t="s">
        <v>87</v>
      </c>
      <c r="C29" s="35">
        <f>'NO HENN CC'!B28</f>
        <v>22453758.693899825</v>
      </c>
      <c r="D29" s="35">
        <f>'NO HENN CC'!B30</f>
        <v>5862.6001811748893</v>
      </c>
    </row>
    <row r="30" spans="1:4" x14ac:dyDescent="0.2">
      <c r="A30" s="42" t="s">
        <v>145</v>
      </c>
      <c r="B30" s="34" t="s">
        <v>45</v>
      </c>
      <c r="C30" s="32">
        <f>SUM(C31:C35)</f>
        <v>18912215.113534022</v>
      </c>
      <c r="D30" s="35">
        <f>NHED!B30</f>
        <v>6149.2213438883628</v>
      </c>
    </row>
    <row r="31" spans="1:4" x14ac:dyDescent="0.2">
      <c r="A31" s="42" t="s">
        <v>146</v>
      </c>
      <c r="B31" s="36" t="s">
        <v>88</v>
      </c>
      <c r="C31" s="35">
        <f>HIBBING!B28</f>
        <v>5655271.6243188595</v>
      </c>
      <c r="D31" s="35">
        <f>HIBBING!B30</f>
        <v>7016.4660351350612</v>
      </c>
    </row>
    <row r="32" spans="1:4" x14ac:dyDescent="0.2">
      <c r="A32" s="42" t="s">
        <v>147</v>
      </c>
      <c r="B32" s="36" t="s">
        <v>89</v>
      </c>
      <c r="C32" s="35">
        <f>'ITASCA CC'!B28</f>
        <v>4420675.8755238149</v>
      </c>
      <c r="D32" s="35">
        <f>'ITASCA CC'!B30</f>
        <v>5384.5016754248663</v>
      </c>
    </row>
    <row r="33" spans="1:4" x14ac:dyDescent="0.2">
      <c r="A33" s="42" t="s">
        <v>145</v>
      </c>
      <c r="B33" s="36" t="s">
        <v>46</v>
      </c>
      <c r="C33" s="35">
        <f>'MESABI RANGE'!B28</f>
        <v>4438746.4456863301</v>
      </c>
      <c r="D33" s="35">
        <f>'MESABI RANGE'!B30</f>
        <v>5879.1343651474572</v>
      </c>
    </row>
    <row r="34" spans="1:4" x14ac:dyDescent="0.2">
      <c r="A34" s="42" t="s">
        <v>126</v>
      </c>
      <c r="B34" s="36" t="s">
        <v>90</v>
      </c>
      <c r="C34" s="35">
        <f>'RAINY RIVER'!B28</f>
        <v>1470330.2657688374</v>
      </c>
      <c r="D34" s="35">
        <f>'RAINY RIVER'!B30</f>
        <v>8306.9506540612292</v>
      </c>
    </row>
    <row r="35" spans="1:4" x14ac:dyDescent="0.2">
      <c r="A35" s="42" t="s">
        <v>148</v>
      </c>
      <c r="B35" s="36" t="s">
        <v>91</v>
      </c>
      <c r="C35" s="35">
        <f>VERMILION!B28</f>
        <v>2927190.9022361827</v>
      </c>
      <c r="D35" s="35">
        <f>VERMILION!B30</f>
        <v>5565.0017152779137</v>
      </c>
    </row>
    <row r="36" spans="1:4" x14ac:dyDescent="0.2">
      <c r="A36" s="42" t="s">
        <v>149</v>
      </c>
      <c r="B36" s="37" t="s">
        <v>92</v>
      </c>
      <c r="C36" s="35">
        <f>NORTHLAND!B28</f>
        <v>11908536.254680539</v>
      </c>
      <c r="D36" s="35">
        <f>NORTHLAND!B30</f>
        <v>6051.0854952645013</v>
      </c>
    </row>
    <row r="37" spans="1:4" x14ac:dyDescent="0.2">
      <c r="A37" s="42" t="s">
        <v>150</v>
      </c>
      <c r="B37" s="37" t="s">
        <v>93</v>
      </c>
      <c r="C37" s="35">
        <f>'PINE TC'!B28</f>
        <v>4104846.3688041936</v>
      </c>
      <c r="D37" s="35">
        <f>'PINE TC'!B30</f>
        <v>5143.9177553937261</v>
      </c>
    </row>
    <row r="38" spans="1:4" x14ac:dyDescent="0.2">
      <c r="A38" s="42" t="s">
        <v>151</v>
      </c>
      <c r="B38" s="37" t="s">
        <v>48</v>
      </c>
      <c r="C38" s="35">
        <f>RIDGEWATER!B28</f>
        <v>13209252.457986638</v>
      </c>
      <c r="D38" s="35">
        <f>RIDGEWATER!B30</f>
        <v>5317.7344838915615</v>
      </c>
    </row>
    <row r="39" spans="1:4" x14ac:dyDescent="0.2">
      <c r="A39" s="42" t="s">
        <v>152</v>
      </c>
      <c r="B39" s="37" t="s">
        <v>94</v>
      </c>
      <c r="C39" s="35">
        <f>RIVERLAND!B28</f>
        <v>12329941.624597259</v>
      </c>
      <c r="D39" s="35">
        <f>RIVERLAND!B30</f>
        <v>5697.7549097029851</v>
      </c>
    </row>
    <row r="40" spans="1:4" x14ac:dyDescent="0.2">
      <c r="A40" s="42" t="s">
        <v>153</v>
      </c>
      <c r="B40" s="37" t="s">
        <v>95</v>
      </c>
      <c r="C40" s="35">
        <f>ROCHESTER!B28</f>
        <v>20063703.101561803</v>
      </c>
      <c r="D40" s="35">
        <f>ROCHESTER!B30</f>
        <v>5966.013411109665</v>
      </c>
    </row>
    <row r="41" spans="1:4" x14ac:dyDescent="0.2">
      <c r="A41" s="42" t="s">
        <v>154</v>
      </c>
      <c r="B41" s="37" t="s">
        <v>51</v>
      </c>
      <c r="C41" s="35">
        <f>'SAINT PAUL'!B28</f>
        <v>22036251.217967402</v>
      </c>
      <c r="D41" s="35">
        <f>'SAINT PAUL'!B30</f>
        <v>5178.9074542814105</v>
      </c>
    </row>
    <row r="42" spans="1:4" x14ac:dyDescent="0.2">
      <c r="A42" s="42" t="s">
        <v>155</v>
      </c>
      <c r="B42" s="37" t="s">
        <v>65</v>
      </c>
      <c r="C42" s="35">
        <f>'SOUTH CENTRAL'!B28</f>
        <v>13027541.447523942</v>
      </c>
      <c r="D42" s="35">
        <f>'SOUTH CENTRAL'!B30</f>
        <v>6218.3968723264643</v>
      </c>
    </row>
    <row r="43" spans="1:4" x14ac:dyDescent="0.2">
      <c r="A43" s="42" t="s">
        <v>156</v>
      </c>
      <c r="B43" s="37" t="s">
        <v>96</v>
      </c>
      <c r="C43" s="35">
        <f>'SOUTHWEST MN SU'!B28</f>
        <v>18263984.735994469</v>
      </c>
      <c r="D43" s="35">
        <f>'SOUTHWEST MN SU'!B30</f>
        <v>5427.632908170719</v>
      </c>
    </row>
    <row r="44" spans="1:4" x14ac:dyDescent="0.2">
      <c r="A44" s="42" t="s">
        <v>157</v>
      </c>
      <c r="B44" s="37" t="s">
        <v>97</v>
      </c>
      <c r="C44" s="35">
        <f>'ST CLOUD SU'!B28</f>
        <v>62549855.942089885</v>
      </c>
      <c r="D44" s="35">
        <f>'ST CLOUD SU'!B30</f>
        <v>6551.7812864868429</v>
      </c>
    </row>
    <row r="45" spans="1:4" x14ac:dyDescent="0.2">
      <c r="A45" s="42" t="s">
        <v>158</v>
      </c>
      <c r="B45" s="37" t="s">
        <v>98</v>
      </c>
      <c r="C45" s="35">
        <f>'ST CLOUD TCC'!B28</f>
        <v>14696453.81499419</v>
      </c>
      <c r="D45" s="35">
        <f>'ST CLOUD TCC'!B30</f>
        <v>4794.9278352346464</v>
      </c>
    </row>
    <row r="46" spans="1:4" x14ac:dyDescent="0.2">
      <c r="A46" s="42" t="s">
        <v>159</v>
      </c>
      <c r="B46" s="37" t="s">
        <v>99</v>
      </c>
      <c r="C46" s="35">
        <f>'WINONA SU'!B28</f>
        <v>45580761.733615488</v>
      </c>
      <c r="D46" s="35">
        <f>'WINONA SU'!B30</f>
        <v>6466.2734761832162</v>
      </c>
    </row>
    <row r="48" spans="1:4" x14ac:dyDescent="0.2">
      <c r="D48" s="28"/>
    </row>
    <row r="50" spans="2:3" x14ac:dyDescent="0.2">
      <c r="B50" s="27" t="s">
        <v>50</v>
      </c>
      <c r="C50" s="12"/>
    </row>
    <row r="51" spans="2:3" x14ac:dyDescent="0.2">
      <c r="B51" s="27" t="s">
        <v>121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25" sqref="F25"/>
    </sheetView>
  </sheetViews>
  <sheetFormatPr defaultColWidth="9.140625"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16384" width="9.140625" style="12"/>
  </cols>
  <sheetData>
    <row r="1" spans="1:4" x14ac:dyDescent="0.2">
      <c r="A1" s="42" t="s">
        <v>122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123</v>
      </c>
      <c r="B2" s="34" t="s">
        <v>110</v>
      </c>
      <c r="C2" s="47">
        <v>11388473.252351044</v>
      </c>
      <c r="D2" s="47">
        <v>6586.7398799022812</v>
      </c>
    </row>
    <row r="3" spans="1:4" x14ac:dyDescent="0.2">
      <c r="A3" s="42" t="s">
        <v>124</v>
      </c>
      <c r="B3" s="36" t="s">
        <v>111</v>
      </c>
      <c r="C3" s="47">
        <v>34639407.082535081</v>
      </c>
      <c r="D3" s="47">
        <v>5194.8720879626699</v>
      </c>
    </row>
    <row r="4" spans="1:4" ht="24" x14ac:dyDescent="0.2">
      <c r="A4" s="42" t="s">
        <v>129</v>
      </c>
      <c r="B4" s="36" t="s">
        <v>77</v>
      </c>
      <c r="C4" s="47">
        <v>28253743.391021851</v>
      </c>
      <c r="D4" s="48">
        <v>6097.7267299546911</v>
      </c>
    </row>
    <row r="5" spans="1:4" x14ac:dyDescent="0.2">
      <c r="A5" s="42" t="s">
        <v>131</v>
      </c>
      <c r="B5" s="37" t="s">
        <v>39</v>
      </c>
      <c r="C5" s="48">
        <v>12300882.23416144</v>
      </c>
      <c r="D5" s="48">
        <v>4648.859498927226</v>
      </c>
    </row>
    <row r="6" spans="1:4" x14ac:dyDescent="0.2">
      <c r="A6" s="42" t="s">
        <v>132</v>
      </c>
      <c r="B6" s="37" t="s">
        <v>40</v>
      </c>
      <c r="C6" s="48">
        <v>28086973.777398847</v>
      </c>
      <c r="D6" s="48">
        <v>4752.449031708773</v>
      </c>
    </row>
    <row r="7" spans="1:4" x14ac:dyDescent="0.2">
      <c r="A7" s="42" t="s">
        <v>133</v>
      </c>
      <c r="B7" s="37" t="s">
        <v>160</v>
      </c>
      <c r="C7" s="48">
        <v>25155605.466869146</v>
      </c>
      <c r="D7" s="48">
        <v>5502.1009332609683</v>
      </c>
    </row>
    <row r="8" spans="1:4" x14ac:dyDescent="0.2">
      <c r="A8" s="42" t="s">
        <v>134</v>
      </c>
      <c r="B8" s="37" t="s">
        <v>79</v>
      </c>
      <c r="C8" s="48">
        <v>4767922.4964427464</v>
      </c>
      <c r="D8" s="48">
        <v>5512.0491288355452</v>
      </c>
    </row>
    <row r="9" spans="1:4" x14ac:dyDescent="0.2">
      <c r="A9" s="42" t="s">
        <v>135</v>
      </c>
      <c r="B9" s="37" t="s">
        <v>80</v>
      </c>
      <c r="C9" s="48">
        <v>19496101.824882999</v>
      </c>
      <c r="D9" s="48">
        <v>6617.8213933750849</v>
      </c>
    </row>
    <row r="10" spans="1:4" x14ac:dyDescent="0.2">
      <c r="A10" s="42" t="s">
        <v>136</v>
      </c>
      <c r="B10" s="37" t="s">
        <v>41</v>
      </c>
      <c r="C10" s="48">
        <v>14713055.641583409</v>
      </c>
      <c r="D10" s="48">
        <v>4752.2789539998093</v>
      </c>
    </row>
    <row r="11" spans="1:4" x14ac:dyDescent="0.2">
      <c r="A11" s="42" t="s">
        <v>137</v>
      </c>
      <c r="B11" s="34" t="s">
        <v>82</v>
      </c>
      <c r="C11" s="48">
        <v>51112764.601551607</v>
      </c>
      <c r="D11" s="48">
        <v>8771.7117902096452</v>
      </c>
    </row>
    <row r="12" spans="1:4" x14ac:dyDescent="0.2">
      <c r="A12" s="42" t="s">
        <v>138</v>
      </c>
      <c r="B12" s="37" t="s">
        <v>83</v>
      </c>
      <c r="C12" s="48">
        <v>26885629.749808416</v>
      </c>
      <c r="D12" s="48">
        <v>5927.1670524268993</v>
      </c>
    </row>
    <row r="13" spans="1:4" x14ac:dyDescent="0.2">
      <c r="A13" s="42" t="s">
        <v>139</v>
      </c>
      <c r="B13" s="37" t="s">
        <v>84</v>
      </c>
      <c r="C13" s="48">
        <v>7863591.9484156976</v>
      </c>
      <c r="D13" s="48">
        <v>6796.5358240412252</v>
      </c>
    </row>
    <row r="14" spans="1:4" x14ac:dyDescent="0.2">
      <c r="A14" s="42" t="s">
        <v>140</v>
      </c>
      <c r="B14" s="37" t="s">
        <v>85</v>
      </c>
      <c r="C14" s="48">
        <v>19186844.857421022</v>
      </c>
      <c r="D14" s="48">
        <v>5166.0863913357625</v>
      </c>
    </row>
    <row r="15" spans="1:4" x14ac:dyDescent="0.2">
      <c r="A15" s="42" t="s">
        <v>141</v>
      </c>
      <c r="B15" s="37" t="s">
        <v>112</v>
      </c>
      <c r="C15" s="48">
        <v>32994131.384791173</v>
      </c>
      <c r="D15" s="48">
        <v>6386.7850144775794</v>
      </c>
    </row>
    <row r="16" spans="1:4" x14ac:dyDescent="0.2">
      <c r="A16" s="42" t="s">
        <v>142</v>
      </c>
      <c r="B16" s="37" t="s">
        <v>113</v>
      </c>
      <c r="C16" s="48">
        <v>79498216.650342196</v>
      </c>
      <c r="D16" s="48">
        <v>6021.6797947539917</v>
      </c>
    </row>
    <row r="17" spans="1:4" x14ac:dyDescent="0.2">
      <c r="A17" s="42" t="s">
        <v>143</v>
      </c>
      <c r="B17" s="37" t="s">
        <v>114</v>
      </c>
      <c r="C17" s="48">
        <v>10764815.113285832</v>
      </c>
      <c r="D17" s="48">
        <v>5450.5392978662439</v>
      </c>
    </row>
    <row r="18" spans="1:4" x14ac:dyDescent="0.2">
      <c r="A18" s="42" t="s">
        <v>144</v>
      </c>
      <c r="B18" s="37" t="s">
        <v>86</v>
      </c>
      <c r="C18" s="48">
        <v>29725016.766661182</v>
      </c>
      <c r="D18" s="48">
        <v>4386.8088498614497</v>
      </c>
    </row>
    <row r="19" spans="1:4" x14ac:dyDescent="0.2">
      <c r="A19" s="42" t="s">
        <v>125</v>
      </c>
      <c r="B19" s="37" t="s">
        <v>87</v>
      </c>
      <c r="C19" s="48">
        <v>22453758.693899825</v>
      </c>
      <c r="D19" s="48">
        <v>5862.6001811748893</v>
      </c>
    </row>
    <row r="20" spans="1:4" x14ac:dyDescent="0.2">
      <c r="A20" s="42" t="s">
        <v>145</v>
      </c>
      <c r="B20" s="37" t="s">
        <v>45</v>
      </c>
      <c r="C20" s="47">
        <v>18912215.113534022</v>
      </c>
      <c r="D20" s="48">
        <v>6149.2213438883628</v>
      </c>
    </row>
    <row r="21" spans="1:4" x14ac:dyDescent="0.2">
      <c r="A21" s="27" t="s">
        <v>149</v>
      </c>
      <c r="B21" s="12" t="s">
        <v>92</v>
      </c>
      <c r="C21" s="48">
        <v>11908536.254680539</v>
      </c>
      <c r="D21" s="48">
        <v>6051.0854952645013</v>
      </c>
    </row>
    <row r="22" spans="1:4" x14ac:dyDescent="0.2">
      <c r="A22" s="27" t="s">
        <v>150</v>
      </c>
      <c r="B22" s="12" t="s">
        <v>93</v>
      </c>
      <c r="C22" s="48">
        <v>4104846.3688041936</v>
      </c>
      <c r="D22" s="48">
        <v>5143.9177553937261</v>
      </c>
    </row>
    <row r="23" spans="1:4" x14ac:dyDescent="0.2">
      <c r="A23" s="27" t="s">
        <v>151</v>
      </c>
      <c r="B23" s="12" t="s">
        <v>48</v>
      </c>
      <c r="C23" s="48">
        <v>13209252.457986638</v>
      </c>
      <c r="D23" s="48">
        <v>5317.7344838915615</v>
      </c>
    </row>
    <row r="24" spans="1:4" x14ac:dyDescent="0.2">
      <c r="A24" s="27" t="s">
        <v>152</v>
      </c>
      <c r="B24" s="12" t="s">
        <v>94</v>
      </c>
      <c r="C24" s="48">
        <v>12329941.624597259</v>
      </c>
      <c r="D24" s="48">
        <v>5697.7549097029851</v>
      </c>
    </row>
    <row r="25" spans="1:4" x14ac:dyDescent="0.2">
      <c r="A25" s="27" t="s">
        <v>153</v>
      </c>
      <c r="B25" s="12" t="s">
        <v>95</v>
      </c>
      <c r="C25" s="48">
        <v>20063703.101561803</v>
      </c>
      <c r="D25" s="48">
        <v>5966.013411109665</v>
      </c>
    </row>
    <row r="26" spans="1:4" x14ac:dyDescent="0.2">
      <c r="A26" s="27" t="s">
        <v>154</v>
      </c>
      <c r="B26" s="12" t="s">
        <v>51</v>
      </c>
      <c r="C26" s="48">
        <v>22036251.217967402</v>
      </c>
      <c r="D26" s="48">
        <v>5178.9074542814105</v>
      </c>
    </row>
    <row r="27" spans="1:4" x14ac:dyDescent="0.2">
      <c r="A27" s="27" t="s">
        <v>155</v>
      </c>
      <c r="B27" s="12" t="s">
        <v>65</v>
      </c>
      <c r="C27" s="48">
        <v>13027541.447523942</v>
      </c>
      <c r="D27" s="48">
        <v>6218.3968723264643</v>
      </c>
    </row>
    <row r="28" spans="1:4" x14ac:dyDescent="0.2">
      <c r="A28" s="27" t="s">
        <v>156</v>
      </c>
      <c r="B28" s="12" t="s">
        <v>96</v>
      </c>
      <c r="C28" s="48">
        <v>18263984.735994469</v>
      </c>
      <c r="D28" s="48">
        <v>5427.632908170719</v>
      </c>
    </row>
    <row r="29" spans="1:4" x14ac:dyDescent="0.2">
      <c r="A29" s="27" t="s">
        <v>157</v>
      </c>
      <c r="B29" s="12" t="s">
        <v>97</v>
      </c>
      <c r="C29" s="48">
        <v>62549855.942089885</v>
      </c>
      <c r="D29" s="48">
        <v>6551.7812864868429</v>
      </c>
    </row>
    <row r="30" spans="1:4" x14ac:dyDescent="0.2">
      <c r="A30" s="27" t="s">
        <v>158</v>
      </c>
      <c r="B30" s="12" t="s">
        <v>98</v>
      </c>
      <c r="C30" s="48">
        <v>14696453.81499419</v>
      </c>
      <c r="D30" s="48">
        <v>4794.9278352346464</v>
      </c>
    </row>
    <row r="31" spans="1:4" x14ac:dyDescent="0.2">
      <c r="A31" s="27" t="s">
        <v>159</v>
      </c>
      <c r="B31" s="12" t="s">
        <v>99</v>
      </c>
      <c r="C31" s="48">
        <v>45580761.733615488</v>
      </c>
      <c r="D31" s="48">
        <v>6466.2734761832162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29" sqref="C29"/>
    </sheetView>
  </sheetViews>
  <sheetFormatPr defaultColWidth="9.140625"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6" width="9.140625" style="12"/>
    <col min="7" max="7" width="52.7109375" style="12" bestFit="1" customWidth="1"/>
    <col min="8" max="8" width="10.42578125" style="12" bestFit="1" customWidth="1"/>
    <col min="9" max="16384" width="9.140625" style="12"/>
  </cols>
  <sheetData>
    <row r="1" spans="1:4" x14ac:dyDescent="0.2">
      <c r="A1" s="42" t="s">
        <v>122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123</v>
      </c>
      <c r="B2" s="34" t="s">
        <v>110</v>
      </c>
      <c r="C2" s="47">
        <v>11388473.252351044</v>
      </c>
      <c r="D2" s="47">
        <v>6586.7398799022812</v>
      </c>
    </row>
    <row r="3" spans="1:4" x14ac:dyDescent="0.2">
      <c r="A3" s="42" t="s">
        <v>124</v>
      </c>
      <c r="B3" s="34" t="s">
        <v>71</v>
      </c>
      <c r="C3" s="47">
        <v>27308618.295792311</v>
      </c>
      <c r="D3" s="47">
        <v>5131.2698789538354</v>
      </c>
    </row>
    <row r="4" spans="1:4" x14ac:dyDescent="0.2">
      <c r="A4" s="42" t="s">
        <v>128</v>
      </c>
      <c r="B4" s="34" t="s">
        <v>72</v>
      </c>
      <c r="C4" s="48">
        <v>7250987.0103885401</v>
      </c>
      <c r="D4" s="48">
        <v>5387.0631577923778</v>
      </c>
    </row>
    <row r="5" spans="1:4" x14ac:dyDescent="0.2">
      <c r="A5" s="42" t="s">
        <v>129</v>
      </c>
      <c r="B5" s="36" t="s">
        <v>161</v>
      </c>
      <c r="C5" s="48">
        <v>24085640.524912246</v>
      </c>
      <c r="D5" s="48">
        <v>5922.2130624323199</v>
      </c>
    </row>
    <row r="6" spans="1:4" x14ac:dyDescent="0.2">
      <c r="A6" s="42" t="s">
        <v>130</v>
      </c>
      <c r="B6" s="34" t="s">
        <v>162</v>
      </c>
      <c r="C6" s="48">
        <v>4168102.8661096063</v>
      </c>
      <c r="D6" s="48">
        <v>7390.253308704976</v>
      </c>
    </row>
    <row r="7" spans="1:4" x14ac:dyDescent="0.2">
      <c r="A7" s="42" t="s">
        <v>131</v>
      </c>
      <c r="B7" s="37" t="s">
        <v>39</v>
      </c>
      <c r="C7" s="48">
        <v>12300882.23416144</v>
      </c>
      <c r="D7" s="48">
        <v>4648.859498927226</v>
      </c>
    </row>
    <row r="8" spans="1:4" x14ac:dyDescent="0.2">
      <c r="A8" s="42" t="s">
        <v>132</v>
      </c>
      <c r="B8" s="37" t="s">
        <v>40</v>
      </c>
      <c r="C8" s="48">
        <v>28086973.777398847</v>
      </c>
      <c r="D8" s="48">
        <v>4752.449031708773</v>
      </c>
    </row>
    <row r="9" spans="1:4" x14ac:dyDescent="0.2">
      <c r="A9" s="42" t="s">
        <v>133</v>
      </c>
      <c r="B9" s="37" t="s">
        <v>78</v>
      </c>
      <c r="C9" s="48">
        <v>10311645.485022021</v>
      </c>
      <c r="D9" s="48">
        <v>5418.626108787189</v>
      </c>
    </row>
    <row r="10" spans="1:4" x14ac:dyDescent="0.2">
      <c r="A10" s="42" t="s">
        <v>134</v>
      </c>
      <c r="B10" s="37" t="s">
        <v>79</v>
      </c>
      <c r="C10" s="48">
        <v>4767922.4964427464</v>
      </c>
      <c r="D10" s="48">
        <v>5512.0491288355452</v>
      </c>
    </row>
    <row r="11" spans="1:4" x14ac:dyDescent="0.2">
      <c r="A11" s="42" t="s">
        <v>135</v>
      </c>
      <c r="B11" s="37" t="s">
        <v>80</v>
      </c>
      <c r="C11" s="48">
        <v>19496101.824882999</v>
      </c>
      <c r="D11" s="48">
        <v>6617.8213933750849</v>
      </c>
    </row>
    <row r="12" spans="1:4" x14ac:dyDescent="0.2">
      <c r="A12" s="42" t="s">
        <v>127</v>
      </c>
      <c r="B12" s="37" t="s">
        <v>81</v>
      </c>
      <c r="C12" s="48">
        <v>14950393.63326961</v>
      </c>
      <c r="D12" s="48">
        <v>5601.4963032107944</v>
      </c>
    </row>
    <row r="13" spans="1:4" x14ac:dyDescent="0.2">
      <c r="A13" s="42" t="s">
        <v>136</v>
      </c>
      <c r="B13" s="37" t="s">
        <v>41</v>
      </c>
      <c r="C13" s="48">
        <v>14713055.641583409</v>
      </c>
      <c r="D13" s="48">
        <v>4752.2789539998093</v>
      </c>
    </row>
    <row r="14" spans="1:4" x14ac:dyDescent="0.2">
      <c r="A14" s="42" t="s">
        <v>137</v>
      </c>
      <c r="B14" s="34" t="s">
        <v>82</v>
      </c>
      <c r="C14" s="48">
        <v>51112764.601551607</v>
      </c>
      <c r="D14" s="48">
        <v>8771.7117902096452</v>
      </c>
    </row>
    <row r="15" spans="1:4" x14ac:dyDescent="0.2">
      <c r="A15" s="42" t="s">
        <v>138</v>
      </c>
      <c r="B15" s="37" t="s">
        <v>83</v>
      </c>
      <c r="C15" s="48">
        <v>26885629.749808416</v>
      </c>
      <c r="D15" s="48">
        <v>5927.1670524268993</v>
      </c>
    </row>
    <row r="16" spans="1:4" x14ac:dyDescent="0.2">
      <c r="A16" s="42" t="s">
        <v>139</v>
      </c>
      <c r="B16" s="37" t="s">
        <v>84</v>
      </c>
      <c r="C16" s="48">
        <v>7863591.9484156976</v>
      </c>
      <c r="D16" s="48">
        <v>6796.5358240412252</v>
      </c>
    </row>
    <row r="17" spans="1:4" x14ac:dyDescent="0.2">
      <c r="A17" s="42" t="s">
        <v>140</v>
      </c>
      <c r="B17" s="37" t="s">
        <v>85</v>
      </c>
      <c r="C17" s="48">
        <v>19186844.857421022</v>
      </c>
      <c r="D17" s="48">
        <v>5166.0863913357625</v>
      </c>
    </row>
    <row r="18" spans="1:4" x14ac:dyDescent="0.2">
      <c r="A18" s="42" t="s">
        <v>141</v>
      </c>
      <c r="B18" s="37" t="s">
        <v>112</v>
      </c>
      <c r="C18" s="48">
        <v>32994131.384791173</v>
      </c>
      <c r="D18" s="48">
        <v>6386.7850144775794</v>
      </c>
    </row>
    <row r="19" spans="1:4" x14ac:dyDescent="0.2">
      <c r="A19" s="42" t="s">
        <v>142</v>
      </c>
      <c r="B19" s="37" t="s">
        <v>113</v>
      </c>
      <c r="C19" s="48">
        <v>79498216.650342196</v>
      </c>
      <c r="D19" s="48">
        <v>6021.6797947539917</v>
      </c>
    </row>
    <row r="20" spans="1:4" x14ac:dyDescent="0.2">
      <c r="A20" s="42" t="s">
        <v>143</v>
      </c>
      <c r="B20" s="37" t="s">
        <v>114</v>
      </c>
      <c r="C20" s="48">
        <v>10764815.113285832</v>
      </c>
      <c r="D20" s="48">
        <v>5450.5392978662439</v>
      </c>
    </row>
    <row r="21" spans="1:4" x14ac:dyDescent="0.2">
      <c r="A21" s="42" t="s">
        <v>144</v>
      </c>
      <c r="B21" s="37" t="s">
        <v>86</v>
      </c>
      <c r="C21" s="48">
        <v>29725016.766661182</v>
      </c>
      <c r="D21" s="48">
        <v>4386.8088498614497</v>
      </c>
    </row>
    <row r="22" spans="1:4" x14ac:dyDescent="0.2">
      <c r="A22" s="42" t="s">
        <v>125</v>
      </c>
      <c r="B22" s="37" t="s">
        <v>87</v>
      </c>
      <c r="C22" s="48">
        <v>22453758.693899825</v>
      </c>
      <c r="D22" s="48">
        <v>5862.6001811748893</v>
      </c>
    </row>
    <row r="23" spans="1:4" x14ac:dyDescent="0.2">
      <c r="A23" s="42" t="s">
        <v>146</v>
      </c>
      <c r="B23" s="37" t="s">
        <v>163</v>
      </c>
      <c r="C23" s="48">
        <v>5655271.6243188595</v>
      </c>
      <c r="D23" s="48">
        <v>7016.4660351350612</v>
      </c>
    </row>
    <row r="24" spans="1:4" x14ac:dyDescent="0.2">
      <c r="A24" s="27" t="s">
        <v>147</v>
      </c>
      <c r="B24" s="12" t="s">
        <v>164</v>
      </c>
      <c r="C24" s="48">
        <v>4420675.8755238149</v>
      </c>
      <c r="D24" s="48">
        <v>5384.5016754248663</v>
      </c>
    </row>
    <row r="25" spans="1:4" x14ac:dyDescent="0.2">
      <c r="A25" s="27" t="s">
        <v>145</v>
      </c>
      <c r="B25" s="12" t="s">
        <v>165</v>
      </c>
      <c r="C25" s="48">
        <v>4438746.4456863301</v>
      </c>
      <c r="D25" s="48">
        <v>5879.1343651474572</v>
      </c>
    </row>
    <row r="26" spans="1:4" x14ac:dyDescent="0.2">
      <c r="A26" s="27" t="s">
        <v>126</v>
      </c>
      <c r="B26" s="12" t="s">
        <v>166</v>
      </c>
      <c r="C26" s="48">
        <v>1470330.2657688374</v>
      </c>
      <c r="D26" s="48">
        <v>8306.9506540612292</v>
      </c>
    </row>
    <row r="27" spans="1:4" x14ac:dyDescent="0.2">
      <c r="A27" s="27" t="s">
        <v>148</v>
      </c>
      <c r="B27" s="12" t="s">
        <v>167</v>
      </c>
      <c r="C27" s="48">
        <v>2927190.9022361827</v>
      </c>
      <c r="D27" s="48">
        <v>5565.0017152779137</v>
      </c>
    </row>
    <row r="28" spans="1:4" x14ac:dyDescent="0.2">
      <c r="A28" s="27" t="s">
        <v>149</v>
      </c>
      <c r="B28" s="12" t="s">
        <v>92</v>
      </c>
      <c r="C28" s="48">
        <v>11908536.254680539</v>
      </c>
      <c r="D28" s="48">
        <v>6051.0854952645013</v>
      </c>
    </row>
    <row r="29" spans="1:4" x14ac:dyDescent="0.2">
      <c r="A29" s="27" t="s">
        <v>150</v>
      </c>
      <c r="B29" s="12" t="s">
        <v>93</v>
      </c>
      <c r="C29" s="48">
        <v>4104846.3688041936</v>
      </c>
      <c r="D29" s="48">
        <v>5143.9177553937261</v>
      </c>
    </row>
    <row r="30" spans="1:4" x14ac:dyDescent="0.2">
      <c r="A30" s="27" t="s">
        <v>151</v>
      </c>
      <c r="B30" s="12" t="s">
        <v>48</v>
      </c>
      <c r="C30" s="48">
        <v>13209252.457986638</v>
      </c>
      <c r="D30" s="48">
        <v>5317.7344838915615</v>
      </c>
    </row>
    <row r="31" spans="1:4" x14ac:dyDescent="0.2">
      <c r="A31" s="27" t="s">
        <v>152</v>
      </c>
      <c r="B31" s="12" t="s">
        <v>94</v>
      </c>
      <c r="C31" s="48">
        <v>12329941.624597259</v>
      </c>
      <c r="D31" s="48">
        <v>5697.7549097029851</v>
      </c>
    </row>
    <row r="32" spans="1:4" x14ac:dyDescent="0.2">
      <c r="A32" s="27" t="s">
        <v>153</v>
      </c>
      <c r="B32" s="12" t="s">
        <v>95</v>
      </c>
      <c r="C32" s="48">
        <v>20063703.101561803</v>
      </c>
      <c r="D32" s="48">
        <v>5966.013411109665</v>
      </c>
    </row>
    <row r="33" spans="1:4" x14ac:dyDescent="0.2">
      <c r="A33" s="27" t="s">
        <v>154</v>
      </c>
      <c r="B33" s="12" t="s">
        <v>51</v>
      </c>
      <c r="C33" s="48">
        <v>22036251.217967402</v>
      </c>
      <c r="D33" s="48">
        <v>5178.9074542814105</v>
      </c>
    </row>
    <row r="34" spans="1:4" x14ac:dyDescent="0.2">
      <c r="A34" s="27" t="s">
        <v>155</v>
      </c>
      <c r="B34" s="12" t="s">
        <v>65</v>
      </c>
      <c r="C34" s="48">
        <v>13027541.447523942</v>
      </c>
      <c r="D34" s="48">
        <v>6218.3968723264643</v>
      </c>
    </row>
    <row r="35" spans="1:4" x14ac:dyDescent="0.2">
      <c r="A35" s="27" t="s">
        <v>156</v>
      </c>
      <c r="B35" s="12" t="s">
        <v>96</v>
      </c>
      <c r="C35" s="48">
        <v>18263984.735994469</v>
      </c>
      <c r="D35" s="48">
        <v>5427.632908170719</v>
      </c>
    </row>
    <row r="36" spans="1:4" x14ac:dyDescent="0.2">
      <c r="A36" s="27" t="s">
        <v>157</v>
      </c>
      <c r="B36" s="12" t="s">
        <v>97</v>
      </c>
      <c r="C36" s="48">
        <v>62549855.942089885</v>
      </c>
      <c r="D36" s="48">
        <v>6551.7812864868429</v>
      </c>
    </row>
    <row r="37" spans="1:4" x14ac:dyDescent="0.2">
      <c r="A37" s="27" t="s">
        <v>158</v>
      </c>
      <c r="B37" s="12" t="s">
        <v>98</v>
      </c>
      <c r="C37" s="48">
        <v>14696453.81499419</v>
      </c>
      <c r="D37" s="48">
        <v>4794.9278352346464</v>
      </c>
    </row>
    <row r="38" spans="1:4" x14ac:dyDescent="0.2">
      <c r="A38" s="27" t="s">
        <v>159</v>
      </c>
      <c r="B38" s="12" t="s">
        <v>99</v>
      </c>
      <c r="C38" s="48">
        <v>45580761.733615488</v>
      </c>
      <c r="D38" s="48">
        <v>6466.2734761832162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23032944.109999999</v>
      </c>
      <c r="C9" s="1">
        <f>'Master Expend Table'!C8</f>
        <v>0</v>
      </c>
      <c r="D9" s="1">
        <f>'Master Expend Table'!D8</f>
        <v>993206.58</v>
      </c>
      <c r="E9" s="1">
        <f>'Master Expend Table'!E8</f>
        <v>44051.93</v>
      </c>
      <c r="G9" s="1">
        <f>'Master Expend Table'!G8</f>
        <v>8537168.3900000006</v>
      </c>
      <c r="H9" s="1">
        <f>'Master Expend Table'!H8</f>
        <v>5765260.3600000003</v>
      </c>
      <c r="I9" s="1">
        <f>'Master Expend Table'!I8</f>
        <v>6816994.7199999997</v>
      </c>
      <c r="J9" s="1">
        <f>'Master Expend Table'!J8</f>
        <v>7419002.7300000004</v>
      </c>
      <c r="K9" s="1">
        <f>SUM(B9:J9)</f>
        <v>52608628.819999993</v>
      </c>
    </row>
    <row r="11" spans="1:11" x14ac:dyDescent="0.2">
      <c r="A11" t="s">
        <v>3</v>
      </c>
      <c r="B11" s="1">
        <f>(B9/($K9-$J9))*-$J$11</f>
        <v>3781431.4925221694</v>
      </c>
      <c r="C11" s="1">
        <f t="shared" ref="C11:I11" si="0">(C9/($K9-$J9))*-$J$11</f>
        <v>0</v>
      </c>
      <c r="D11" s="1">
        <f t="shared" si="0"/>
        <v>163059.59942661622</v>
      </c>
      <c r="E11" s="1">
        <f t="shared" si="0"/>
        <v>7232.2215784850496</v>
      </c>
      <c r="G11" s="1">
        <f t="shared" si="0"/>
        <v>1401588.839565451</v>
      </c>
      <c r="H11" s="1">
        <f t="shared" si="0"/>
        <v>946511.09227624058</v>
      </c>
      <c r="I11" s="1">
        <f t="shared" si="0"/>
        <v>1119179.4846310399</v>
      </c>
      <c r="J11" s="1">
        <f>-J9</f>
        <v>-7419002.7300000004</v>
      </c>
      <c r="K11" s="1">
        <v>0</v>
      </c>
    </row>
    <row r="12" spans="1:11" x14ac:dyDescent="0.2">
      <c r="A12" t="s">
        <v>4</v>
      </c>
      <c r="B12" s="1">
        <f>+B9+B11</f>
        <v>26814375.602522168</v>
      </c>
      <c r="C12" s="1">
        <f t="shared" ref="C12:J12" si="1">+C9+C11</f>
        <v>0</v>
      </c>
      <c r="D12" s="1">
        <f t="shared" si="1"/>
        <v>1156266.1794266161</v>
      </c>
      <c r="E12" s="1">
        <f t="shared" si="1"/>
        <v>51284.151578485049</v>
      </c>
      <c r="G12" s="1">
        <f t="shared" si="1"/>
        <v>9938757.2295654509</v>
      </c>
      <c r="H12" s="1">
        <f t="shared" si="1"/>
        <v>6711771.452276241</v>
      </c>
      <c r="I12" s="1">
        <f t="shared" si="1"/>
        <v>7936174.2046310399</v>
      </c>
      <c r="J12" s="1">
        <f t="shared" si="1"/>
        <v>0</v>
      </c>
      <c r="K12" s="1">
        <f>SUM(B12:J12)</f>
        <v>52608628.82</v>
      </c>
    </row>
    <row r="14" spans="1:11" x14ac:dyDescent="0.2">
      <c r="A14" t="s">
        <v>5</v>
      </c>
      <c r="B14" s="1">
        <f>B$9/($K$9-$J$9-$I$9)*-I14</f>
        <v>4763641.438606156</v>
      </c>
      <c r="C14" s="1">
        <f t="shared" ref="C14:H14" si="2">C$9/($K$9-$J$9-$I$9)*-$I$14</f>
        <v>0</v>
      </c>
      <c r="D14" s="1">
        <f t="shared" si="2"/>
        <v>205413.60231626505</v>
      </c>
      <c r="E14" s="1">
        <f t="shared" si="2"/>
        <v>9110.7588416137423</v>
      </c>
      <c r="G14" s="1">
        <f t="shared" si="2"/>
        <v>1765645.2825458013</v>
      </c>
      <c r="H14" s="1">
        <f t="shared" si="2"/>
        <v>1192363.1223212066</v>
      </c>
      <c r="I14" s="1">
        <f>-I12</f>
        <v>-7936174.2046310399</v>
      </c>
      <c r="K14" s="1">
        <v>0</v>
      </c>
    </row>
    <row r="15" spans="1:11" x14ac:dyDescent="0.2">
      <c r="A15" t="s">
        <v>4</v>
      </c>
      <c r="B15" s="1">
        <f>+B12+B14</f>
        <v>31578017.041128322</v>
      </c>
      <c r="C15" s="1">
        <f>+C12+C14</f>
        <v>0</v>
      </c>
      <c r="D15" s="1">
        <f>+D12+D14</f>
        <v>1361679.7817428811</v>
      </c>
      <c r="E15" s="1">
        <f>+E12+E14</f>
        <v>60394.910420098793</v>
      </c>
      <c r="G15" s="1">
        <f>+G12+G14</f>
        <v>11704402.512111252</v>
      </c>
      <c r="H15" s="1">
        <f>+H12+H14</f>
        <v>7904134.5745974481</v>
      </c>
      <c r="I15" s="1">
        <f>+I12+I14</f>
        <v>0</v>
      </c>
      <c r="J15" s="1">
        <f>+J12+J14</f>
        <v>0</v>
      </c>
      <c r="K15" s="1">
        <f>SUM(B15:J15)</f>
        <v>52608628.82</v>
      </c>
    </row>
    <row r="17" spans="1:11" x14ac:dyDescent="0.2">
      <c r="A17" t="s">
        <v>6</v>
      </c>
      <c r="B17" s="1">
        <f>B$9/($K$9-$J$9-$I$9-$H$9)*-$H$17</f>
        <v>5583261.8287070449</v>
      </c>
      <c r="C17" s="1">
        <f>C$9/($K$9-$J$9-$I$9-$H$9)*-$H$17</f>
        <v>0</v>
      </c>
      <c r="D17" s="1">
        <f>D$9/($K$9-$J$9-$I$9-$H$9)*-$H$17</f>
        <v>240756.55980631261</v>
      </c>
      <c r="E17" s="1">
        <f>E$9/($K$9-$J$9-$I$9-$H$9)*-$H$17</f>
        <v>10678.333524158183</v>
      </c>
      <c r="G17" s="1">
        <f>G$9/($K$9-$J$9-$I$9-$H$9)*-$H$17</f>
        <v>2069437.8525599344</v>
      </c>
      <c r="H17" s="1">
        <f>-H15</f>
        <v>-7904134.5745974481</v>
      </c>
      <c r="K17" s="1">
        <v>0</v>
      </c>
    </row>
    <row r="18" spans="1:11" x14ac:dyDescent="0.2">
      <c r="A18" t="s">
        <v>4</v>
      </c>
      <c r="B18" s="1">
        <f>+B15+B17</f>
        <v>37161278.869835369</v>
      </c>
      <c r="C18" s="1">
        <f>+C15+C17</f>
        <v>0</v>
      </c>
      <c r="D18" s="1">
        <f>+D15+D17</f>
        <v>1602436.3415491937</v>
      </c>
      <c r="E18" s="1">
        <f>+E15+E17</f>
        <v>71073.243944256974</v>
      </c>
      <c r="G18" s="1">
        <f>+G15+G17</f>
        <v>13773840.364671186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52608628.820000008</v>
      </c>
    </row>
    <row r="20" spans="1:11" x14ac:dyDescent="0.2">
      <c r="A20" t="s">
        <v>7</v>
      </c>
      <c r="B20" s="1">
        <f>B$9/($K$9-$J$9-$I$9-$H$9-$G$9)*-$G$20</f>
        <v>13180283.535956938</v>
      </c>
      <c r="C20" s="1">
        <f>C$9/($K$9-$J$9-$I$9-$H$9-$G$9)*-$G$20</f>
        <v>0</v>
      </c>
      <c r="D20" s="1">
        <f>D$9/($K$9-$J$9-$I$9-$H$9-$G$9)*-$G$20</f>
        <v>568348.72136448289</v>
      </c>
      <c r="E20" s="1">
        <f>E$9/($K$9-$J$9-$I$9-$H$9-$G$9)*-$G$20</f>
        <v>25208.10734976978</v>
      </c>
      <c r="G20" s="1">
        <f>-G18</f>
        <v>-13773840.364671186</v>
      </c>
      <c r="K20" s="1">
        <f>SUM(B20:J20)</f>
        <v>0</v>
      </c>
    </row>
    <row r="22" spans="1:11" x14ac:dyDescent="0.2">
      <c r="A22" t="s">
        <v>8</v>
      </c>
      <c r="B22" s="1">
        <f>+B20+B18</f>
        <v>50341562.405792311</v>
      </c>
      <c r="C22" s="1">
        <f t="shared" ref="C22:K22" si="3">+C20+C18</f>
        <v>0</v>
      </c>
      <c r="D22" s="1">
        <f t="shared" si="3"/>
        <v>2170785.0629136767</v>
      </c>
      <c r="E22" s="1">
        <f t="shared" si="3"/>
        <v>96281.351294026754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52608628.820000008</v>
      </c>
    </row>
    <row r="27" spans="1:11" x14ac:dyDescent="0.2">
      <c r="A27" t="s">
        <v>9</v>
      </c>
      <c r="B27" s="1">
        <f>+B9</f>
        <v>23032944.109999999</v>
      </c>
    </row>
    <row r="28" spans="1:11" x14ac:dyDescent="0.2">
      <c r="A28" t="s">
        <v>10</v>
      </c>
      <c r="B28" s="1">
        <f>+B22-B27</f>
        <v>27308618.295792311</v>
      </c>
    </row>
    <row r="29" spans="1:11" x14ac:dyDescent="0.2">
      <c r="A29" s="29" t="s">
        <v>170</v>
      </c>
      <c r="B29" s="1">
        <v>5322</v>
      </c>
    </row>
    <row r="30" spans="1:11" x14ac:dyDescent="0.2">
      <c r="A30" t="s">
        <v>11</v>
      </c>
      <c r="B30" s="1">
        <f>+B28/B29</f>
        <v>5131.2698789538354</v>
      </c>
    </row>
  </sheetData>
  <phoneticPr fontId="0" type="noConversion"/>
  <pageMargins left="0.57999999999999996" right="0.55000000000000004" top="0.75" bottom="0.56000000000000005" header="0.5" footer="0.5"/>
  <pageSetup scale="97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9255131.3200000003</v>
      </c>
      <c r="C9" s="1">
        <f>'Master Expend Table'!C9</f>
        <v>0</v>
      </c>
      <c r="D9" s="1">
        <f>'Master Expend Table'!D9</f>
        <v>0</v>
      </c>
      <c r="E9" s="1">
        <f>'Master Expend Table'!E9</f>
        <v>128593.47</v>
      </c>
      <c r="G9" s="1">
        <f>'Master Expend Table'!G9</f>
        <v>1658100.77</v>
      </c>
      <c r="H9" s="1">
        <f>'Master Expend Table'!H9</f>
        <v>1593464.21</v>
      </c>
      <c r="I9" s="1">
        <f>'Master Expend Table'!I9</f>
        <v>2585242.4900000002</v>
      </c>
      <c r="J9" s="1">
        <f>'Master Expend Table'!J9</f>
        <v>1514926.85</v>
      </c>
      <c r="K9" s="1">
        <f>SUM(B9:J9)</f>
        <v>16735459.109999999</v>
      </c>
    </row>
    <row r="11" spans="1:11" x14ac:dyDescent="0.2">
      <c r="A11" t="s">
        <v>3</v>
      </c>
      <c r="B11" s="1">
        <f>(B9/($K9-$J9))*-$J$11</f>
        <v>921179.80484763568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12799.138499882494</v>
      </c>
      <c r="G11" s="1">
        <f t="shared" si="0"/>
        <v>165033.74084229791</v>
      </c>
      <c r="H11" s="1">
        <f t="shared" si="0"/>
        <v>158600.34820116329</v>
      </c>
      <c r="I11" s="1">
        <f t="shared" si="0"/>
        <v>257313.81760902077</v>
      </c>
      <c r="J11" s="1">
        <f>-J9</f>
        <v>-1514926.85</v>
      </c>
      <c r="K11" s="1">
        <v>0</v>
      </c>
    </row>
    <row r="12" spans="1:11" x14ac:dyDescent="0.2">
      <c r="A12" t="s">
        <v>4</v>
      </c>
      <c r="B12" s="1">
        <f>+B9+B11</f>
        <v>10176311.124847636</v>
      </c>
      <c r="C12" s="1">
        <f t="shared" ref="C12:J12" si="1">+C9+C11</f>
        <v>0</v>
      </c>
      <c r="D12" s="1">
        <f t="shared" si="1"/>
        <v>0</v>
      </c>
      <c r="E12" s="1">
        <f t="shared" si="1"/>
        <v>141392.60849988251</v>
      </c>
      <c r="G12" s="1">
        <f t="shared" si="1"/>
        <v>1823134.5108422979</v>
      </c>
      <c r="H12" s="1">
        <f t="shared" si="1"/>
        <v>1752064.5582011633</v>
      </c>
      <c r="I12" s="1">
        <f t="shared" si="1"/>
        <v>2842556.3076090212</v>
      </c>
      <c r="J12" s="1">
        <f t="shared" si="1"/>
        <v>0</v>
      </c>
      <c r="K12" s="1">
        <f>SUM(B12:J12)</f>
        <v>16735459.110000001</v>
      </c>
    </row>
    <row r="14" spans="1:11" x14ac:dyDescent="0.2">
      <c r="A14" t="s">
        <v>5</v>
      </c>
      <c r="B14" s="1">
        <f>B$9/($K$9-$J$9-$I$9)*-I14</f>
        <v>2082123.3537421126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28929.623769588579</v>
      </c>
      <c r="G14" s="1">
        <f t="shared" si="2"/>
        <v>373022.29614120477</v>
      </c>
      <c r="H14" s="1">
        <f t="shared" si="2"/>
        <v>358481.03395611525</v>
      </c>
      <c r="I14" s="1">
        <f>-I12</f>
        <v>-2842556.3076090212</v>
      </c>
      <c r="K14" s="1">
        <v>0</v>
      </c>
    </row>
    <row r="15" spans="1:11" x14ac:dyDescent="0.2">
      <c r="A15" t="s">
        <v>4</v>
      </c>
      <c r="B15" s="1">
        <f>+B12+B14</f>
        <v>12258434.478589749</v>
      </c>
      <c r="C15" s="1">
        <f>+C12+C14</f>
        <v>0</v>
      </c>
      <c r="D15" s="1">
        <f>+D12+D14</f>
        <v>0</v>
      </c>
      <c r="E15" s="1">
        <f>+E12+E14</f>
        <v>170322.2322694711</v>
      </c>
      <c r="G15" s="1">
        <f>+G12+G14</f>
        <v>2196156.8069835026</v>
      </c>
      <c r="H15" s="1">
        <f>+H12+H14</f>
        <v>2110545.5921572787</v>
      </c>
      <c r="I15" s="1">
        <f>+I12+I14</f>
        <v>0</v>
      </c>
      <c r="J15" s="1">
        <f>+J12+J14</f>
        <v>0</v>
      </c>
      <c r="K15" s="1">
        <f>SUM(B15:J15)</f>
        <v>16735459.110000001</v>
      </c>
    </row>
    <row r="17" spans="1:11" x14ac:dyDescent="0.2">
      <c r="A17" t="s">
        <v>6</v>
      </c>
      <c r="B17" s="1">
        <f>B$9/($K$9-$J$9-$I$9-$H$9)*-$H$17</f>
        <v>1769035.066359333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24579.484598261421</v>
      </c>
      <c r="G17" s="1">
        <f>G$9/($K$9-$J$9-$I$9-$H$9)*-$H$17</f>
        <v>316931.04119968455</v>
      </c>
      <c r="H17" s="1">
        <f>-H15</f>
        <v>-2110545.5921572787</v>
      </c>
      <c r="K17" s="1">
        <v>0</v>
      </c>
    </row>
    <row r="18" spans="1:11" x14ac:dyDescent="0.2">
      <c r="A18" t="s">
        <v>4</v>
      </c>
      <c r="B18" s="1">
        <f>+B15+B17</f>
        <v>14027469.544949083</v>
      </c>
      <c r="C18" s="1">
        <f>+C15+C17</f>
        <v>0</v>
      </c>
      <c r="D18" s="1">
        <f>+D15+D17</f>
        <v>0</v>
      </c>
      <c r="E18" s="1">
        <f>+E15+E17</f>
        <v>194901.71686773252</v>
      </c>
      <c r="G18" s="1">
        <f>+G15+G17</f>
        <v>2513087.8481831872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16735459.110000001</v>
      </c>
    </row>
    <row r="20" spans="1:11" x14ac:dyDescent="0.2">
      <c r="A20" t="s">
        <v>7</v>
      </c>
      <c r="B20" s="1">
        <f>B$9/($K$9-$J$9-$I$9-$H$9-$G$9)*-$G$20</f>
        <v>2478648.7854394573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34439.062743730494</v>
      </c>
      <c r="G20" s="1">
        <f>-G18</f>
        <v>-2513087.8481831872</v>
      </c>
      <c r="K20" s="1">
        <f>SUM(B20:J20)</f>
        <v>0</v>
      </c>
    </row>
    <row r="22" spans="1:11" x14ac:dyDescent="0.2">
      <c r="A22" t="s">
        <v>8</v>
      </c>
      <c r="B22" s="1">
        <f>+B20+B18</f>
        <v>16506118.33038854</v>
      </c>
      <c r="C22" s="1">
        <f t="shared" ref="C22:K22" si="3">+C20+C18</f>
        <v>0</v>
      </c>
      <c r="D22" s="1">
        <f t="shared" si="3"/>
        <v>0</v>
      </c>
      <c r="E22" s="1">
        <f t="shared" si="3"/>
        <v>229340.77961146302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16735459.110000001</v>
      </c>
    </row>
    <row r="27" spans="1:11" x14ac:dyDescent="0.2">
      <c r="A27" t="s">
        <v>9</v>
      </c>
      <c r="B27" s="1">
        <f>+B9</f>
        <v>9255131.3200000003</v>
      </c>
    </row>
    <row r="28" spans="1:11" x14ac:dyDescent="0.2">
      <c r="A28" t="s">
        <v>10</v>
      </c>
      <c r="B28" s="1">
        <f>+B22-B27</f>
        <v>7250987.0103885401</v>
      </c>
    </row>
    <row r="29" spans="1:11" x14ac:dyDescent="0.2">
      <c r="A29" s="29" t="s">
        <v>170</v>
      </c>
      <c r="B29" s="1">
        <v>1346</v>
      </c>
    </row>
    <row r="30" spans="1:11" x14ac:dyDescent="0.2">
      <c r="A30" t="s">
        <v>11</v>
      </c>
      <c r="B30" s="1">
        <f>+B28/B29</f>
        <v>5387.0631577923778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30" sqref="A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27231990.84</v>
      </c>
      <c r="C9" s="1">
        <f>'Master Expend Table'!C10</f>
        <v>0</v>
      </c>
      <c r="D9" s="1">
        <f>'Master Expend Table'!D10</f>
        <v>79183.600000000006</v>
      </c>
      <c r="E9" s="1">
        <f>'Master Expend Table'!E10</f>
        <v>4918669.97</v>
      </c>
      <c r="G9" s="1">
        <f>'Master Expend Table'!G10</f>
        <v>9075163.290000001</v>
      </c>
      <c r="H9" s="1">
        <f>'Master Expend Table'!H10</f>
        <v>6375199.7000000002</v>
      </c>
      <c r="I9" s="1">
        <f>'Master Expend Table'!I10</f>
        <v>10776573.34</v>
      </c>
      <c r="J9" s="1">
        <f>'Master Expend Table'!J10</f>
        <v>7194226.4100000001</v>
      </c>
      <c r="K9" s="1">
        <f>SUM(B9:J9)</f>
        <v>65651007.150000006</v>
      </c>
    </row>
    <row r="11" spans="1:11" x14ac:dyDescent="0.2">
      <c r="A11" t="s">
        <v>3</v>
      </c>
      <c r="B11" s="1">
        <f>(B9/($K9-$J9))*-$J$11</f>
        <v>3351418.0086203301</v>
      </c>
      <c r="C11" s="1">
        <f t="shared" ref="C11:I11" si="0">(C9/($K9-$J9))*-$J$11</f>
        <v>0</v>
      </c>
      <c r="D11" s="1">
        <f t="shared" si="0"/>
        <v>9745.0584713617936</v>
      </c>
      <c r="E11" s="1">
        <f t="shared" si="0"/>
        <v>605336.54012928635</v>
      </c>
      <c r="G11" s="1">
        <f t="shared" si="0"/>
        <v>1116872.6465859858</v>
      </c>
      <c r="H11" s="1">
        <f t="shared" si="0"/>
        <v>784590.4182571664</v>
      </c>
      <c r="I11" s="1">
        <f t="shared" si="0"/>
        <v>1326263.7379358688</v>
      </c>
      <c r="J11" s="1">
        <f>-J9</f>
        <v>-7194226.4100000001</v>
      </c>
      <c r="K11" s="1">
        <v>0</v>
      </c>
    </row>
    <row r="12" spans="1:11" x14ac:dyDescent="0.2">
      <c r="A12" t="s">
        <v>4</v>
      </c>
      <c r="B12" s="1">
        <f>+B9+B11</f>
        <v>30583408.848620329</v>
      </c>
      <c r="C12" s="1">
        <f t="shared" ref="C12:J12" si="1">+C9+C11</f>
        <v>0</v>
      </c>
      <c r="D12" s="1">
        <f t="shared" si="1"/>
        <v>88928.658471361792</v>
      </c>
      <c r="E12" s="1">
        <f t="shared" si="1"/>
        <v>5524006.510129286</v>
      </c>
      <c r="G12" s="1">
        <f t="shared" si="1"/>
        <v>10192035.936585987</v>
      </c>
      <c r="H12" s="1">
        <f t="shared" si="1"/>
        <v>7159790.1182571668</v>
      </c>
      <c r="I12" s="1">
        <f t="shared" si="1"/>
        <v>12102837.077935869</v>
      </c>
      <c r="J12" s="1">
        <f t="shared" si="1"/>
        <v>0</v>
      </c>
      <c r="K12" s="1">
        <f>SUM(B12:J12)</f>
        <v>65651007.149999991</v>
      </c>
    </row>
    <row r="14" spans="1:11" x14ac:dyDescent="0.2">
      <c r="A14" t="s">
        <v>5</v>
      </c>
      <c r="B14" s="1">
        <f>B$9/($K$9-$J$9-$I$9)*-I14</f>
        <v>6912393.3476086752</v>
      </c>
      <c r="C14" s="1">
        <f t="shared" ref="C14:H14" si="2">C$9/($K$9-$J$9-$I$9)*-$I$14</f>
        <v>0</v>
      </c>
      <c r="D14" s="1">
        <f t="shared" si="2"/>
        <v>20099.455566639223</v>
      </c>
      <c r="E14" s="1">
        <f t="shared" si="2"/>
        <v>1248523.5390785169</v>
      </c>
      <c r="G14" s="1">
        <f t="shared" si="2"/>
        <v>2303581.0610701004</v>
      </c>
      <c r="H14" s="1">
        <f t="shared" si="2"/>
        <v>1618239.6746119359</v>
      </c>
      <c r="I14" s="1">
        <f>-I12</f>
        <v>-12102837.077935869</v>
      </c>
      <c r="K14" s="1">
        <v>0</v>
      </c>
    </row>
    <row r="15" spans="1:11" x14ac:dyDescent="0.2">
      <c r="A15" t="s">
        <v>4</v>
      </c>
      <c r="B15" s="1">
        <f>+B12+B14</f>
        <v>37495802.196229003</v>
      </c>
      <c r="C15" s="1">
        <f>+C12+C14</f>
        <v>0</v>
      </c>
      <c r="D15" s="1">
        <f>+D12+D14</f>
        <v>109028.11403800102</v>
      </c>
      <c r="E15" s="1">
        <f>+E12+E14</f>
        <v>6772530.0492078029</v>
      </c>
      <c r="G15" s="1">
        <f>+G12+G14</f>
        <v>12495616.997656088</v>
      </c>
      <c r="H15" s="1">
        <f>+H12+H14</f>
        <v>8778029.7928691022</v>
      </c>
      <c r="I15" s="1">
        <f>+I12+I14</f>
        <v>0</v>
      </c>
      <c r="J15" s="1">
        <f>+J12+J14</f>
        <v>0</v>
      </c>
      <c r="K15" s="1">
        <f>SUM(B15:J15)</f>
        <v>65651007.150000006</v>
      </c>
    </row>
    <row r="17" spans="1:11" x14ac:dyDescent="0.2">
      <c r="A17" t="s">
        <v>6</v>
      </c>
      <c r="B17" s="1">
        <f>B$9/($K$9-$J$9-$I$9-$H$9)*-$H$17</f>
        <v>5787269.8789657522</v>
      </c>
      <c r="C17" s="1">
        <f>C$9/($K$9-$J$9-$I$9-$H$9)*-$H$17</f>
        <v>0</v>
      </c>
      <c r="D17" s="1">
        <f>D$9/($K$9-$J$9-$I$9-$H$9)*-$H$17</f>
        <v>16827.886946662638</v>
      </c>
      <c r="E17" s="1">
        <f>E$9/($K$9-$J$9-$I$9-$H$9)*-$H$17</f>
        <v>1045302.590222022</v>
      </c>
      <c r="G17" s="1">
        <f>G$9/($K$9-$J$9-$I$9-$H$9)*-$H$17</f>
        <v>1928629.4367346645</v>
      </c>
      <c r="H17" s="1">
        <f>-H15</f>
        <v>-8778029.7928691022</v>
      </c>
      <c r="K17" s="1">
        <v>0</v>
      </c>
    </row>
    <row r="18" spans="1:11" x14ac:dyDescent="0.2">
      <c r="A18" t="s">
        <v>4</v>
      </c>
      <c r="B18" s="1">
        <f>+B15+B17</f>
        <v>43283072.075194754</v>
      </c>
      <c r="C18" s="1">
        <f>+C15+C17</f>
        <v>0</v>
      </c>
      <c r="D18" s="1">
        <f>+D15+D17</f>
        <v>125856.00098466365</v>
      </c>
      <c r="E18" s="1">
        <f>+E15+E17</f>
        <v>7817832.6394298244</v>
      </c>
      <c r="G18" s="1">
        <f>+G15+G17</f>
        <v>14424246.434390754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65651007.149999991</v>
      </c>
    </row>
    <row r="20" spans="1:11" x14ac:dyDescent="0.2">
      <c r="A20" t="s">
        <v>7</v>
      </c>
      <c r="B20" s="1">
        <f>B$9/($K$9-$J$9-$I$9-$H$9-$G$9)*-$G$20</f>
        <v>12187491.251225423</v>
      </c>
      <c r="C20" s="1">
        <f>C$9/($K$9-$J$9-$I$9-$H$9-$G$9)*-$G$20</f>
        <v>0</v>
      </c>
      <c r="D20" s="1">
        <f>D$9/($K$9-$J$9-$I$9-$H$9-$G$9)*-$G$20</f>
        <v>35438.07861535449</v>
      </c>
      <c r="E20" s="1">
        <f>E$9/($K$9-$J$9-$I$9-$H$9-$G$9)*-$G$20</f>
        <v>2201317.1045499737</v>
      </c>
      <c r="G20" s="1">
        <f>-G18</f>
        <v>-14424246.434390754</v>
      </c>
      <c r="K20" s="1">
        <f>SUM(B20:J20)</f>
        <v>0</v>
      </c>
    </row>
    <row r="22" spans="1:11" x14ac:dyDescent="0.2">
      <c r="A22" t="s">
        <v>8</v>
      </c>
      <c r="B22" s="1">
        <f>+B20+B18</f>
        <v>55470563.326420173</v>
      </c>
      <c r="C22" s="1">
        <f t="shared" ref="C22:K22" si="3">+C20+C18</f>
        <v>0</v>
      </c>
      <c r="D22" s="1">
        <f t="shared" si="3"/>
        <v>161294.07960001816</v>
      </c>
      <c r="E22" s="1">
        <f t="shared" si="3"/>
        <v>10019149.743979799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65651007.149999991</v>
      </c>
    </row>
    <row r="27" spans="1:11" x14ac:dyDescent="0.2">
      <c r="A27" t="s">
        <v>9</v>
      </c>
      <c r="B27" s="1">
        <f>+B9</f>
        <v>27231990.84</v>
      </c>
    </row>
    <row r="28" spans="1:11" x14ac:dyDescent="0.2">
      <c r="A28" t="s">
        <v>10</v>
      </c>
      <c r="B28" s="1">
        <f>+B22-B27</f>
        <v>28238572.486420173</v>
      </c>
    </row>
    <row r="29" spans="1:11" x14ac:dyDescent="0.2">
      <c r="A29" s="29" t="s">
        <v>170</v>
      </c>
      <c r="B29" s="1">
        <f>'BEMIDJI SU'!B29+'NTC-Bemidji'!B29</f>
        <v>4631</v>
      </c>
    </row>
    <row r="30" spans="1:11" x14ac:dyDescent="0.2">
      <c r="A30" t="s">
        <v>11</v>
      </c>
      <c r="B30" s="1">
        <f>+B28/B29</f>
        <v>6097.7267299546911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23319873.859999999</v>
      </c>
      <c r="C9" s="1">
        <f>'Master Expend Table'!C11</f>
        <v>0</v>
      </c>
      <c r="D9" s="1">
        <f>'Master Expend Table'!D11</f>
        <v>70409.41</v>
      </c>
      <c r="E9" s="1">
        <f>'Master Expend Table'!E11</f>
        <v>4760288.7699999996</v>
      </c>
      <c r="G9" s="1">
        <f>'Master Expend Table'!G11</f>
        <v>8689340.1500000004</v>
      </c>
      <c r="H9" s="1">
        <f>'Master Expend Table'!H11</f>
        <v>4868739.12</v>
      </c>
      <c r="I9" s="1">
        <f>'Master Expend Table'!I11</f>
        <v>8900613.6999999993</v>
      </c>
      <c r="J9" s="1">
        <f>'Master Expend Table'!J11</f>
        <v>6616273.8499999996</v>
      </c>
      <c r="K9" s="1">
        <f>SUM(B9:J9)</f>
        <v>57225538.859999992</v>
      </c>
    </row>
    <row r="11" spans="1:11" x14ac:dyDescent="0.2">
      <c r="A11" t="s">
        <v>3</v>
      </c>
      <c r="B11" s="1">
        <f>(B9/($K9-$J9))*-$J$11</f>
        <v>3048664.5394816529</v>
      </c>
      <c r="C11" s="1">
        <f t="shared" ref="C11:I11" si="0">(C9/($K9-$J9))*-$J$11</f>
        <v>0</v>
      </c>
      <c r="D11" s="1">
        <f t="shared" si="0"/>
        <v>9204.7955662837758</v>
      </c>
      <c r="E11" s="1">
        <f t="shared" si="0"/>
        <v>622324.27404698369</v>
      </c>
      <c r="G11" s="1">
        <f t="shared" si="0"/>
        <v>1135978.8370141375</v>
      </c>
      <c r="H11" s="1">
        <f t="shared" si="0"/>
        <v>636502.25538274448</v>
      </c>
      <c r="I11" s="1">
        <f t="shared" si="0"/>
        <v>1163599.1485081981</v>
      </c>
      <c r="J11" s="1">
        <f>-J9</f>
        <v>-6616273.8499999996</v>
      </c>
      <c r="K11" s="1">
        <v>0</v>
      </c>
    </row>
    <row r="12" spans="1:11" x14ac:dyDescent="0.2">
      <c r="A12" t="s">
        <v>4</v>
      </c>
      <c r="B12" s="1">
        <f>+B9+B11</f>
        <v>26368538.399481654</v>
      </c>
      <c r="C12" s="1">
        <f t="shared" ref="C12:J12" si="1">+C9+C11</f>
        <v>0</v>
      </c>
      <c r="D12" s="1">
        <f t="shared" si="1"/>
        <v>79614.205566283781</v>
      </c>
      <c r="E12" s="1">
        <f t="shared" si="1"/>
        <v>5382613.0440469831</v>
      </c>
      <c r="G12" s="1">
        <f t="shared" si="1"/>
        <v>9825318.9870141372</v>
      </c>
      <c r="H12" s="1">
        <f t="shared" si="1"/>
        <v>5505241.3753827447</v>
      </c>
      <c r="I12" s="1">
        <f t="shared" si="1"/>
        <v>10064212.848508198</v>
      </c>
      <c r="J12" s="1">
        <f t="shared" si="1"/>
        <v>0</v>
      </c>
      <c r="K12" s="1">
        <f>SUM(B12:J12)</f>
        <v>57225538.859999999</v>
      </c>
    </row>
    <row r="14" spans="1:11" x14ac:dyDescent="0.2">
      <c r="A14" t="s">
        <v>5</v>
      </c>
      <c r="B14" s="1">
        <f>B$9/($K$9-$J$9-$I$9)*-I14</f>
        <v>5627038.1984548168</v>
      </c>
      <c r="C14" s="1">
        <f t="shared" ref="C14:H14" si="2">C$9/($K$9-$J$9-$I$9)*-$I$14</f>
        <v>0</v>
      </c>
      <c r="D14" s="1">
        <f t="shared" si="2"/>
        <v>16989.647627565108</v>
      </c>
      <c r="E14" s="1">
        <f t="shared" si="2"/>
        <v>1148648.0117892667</v>
      </c>
      <c r="G14" s="1">
        <f t="shared" si="2"/>
        <v>2096720.1296609889</v>
      </c>
      <c r="H14" s="1">
        <f t="shared" si="2"/>
        <v>1174816.8609755631</v>
      </c>
      <c r="I14" s="1">
        <f>-I12</f>
        <v>-10064212.848508198</v>
      </c>
      <c r="K14" s="1">
        <v>0</v>
      </c>
    </row>
    <row r="15" spans="1:11" x14ac:dyDescent="0.2">
      <c r="A15" t="s">
        <v>4</v>
      </c>
      <c r="B15" s="1">
        <f>+B12+B14</f>
        <v>31995576.59793647</v>
      </c>
      <c r="C15" s="1">
        <f>+C12+C14</f>
        <v>0</v>
      </c>
      <c r="D15" s="1">
        <f>+D12+D14</f>
        <v>96603.853193848889</v>
      </c>
      <c r="E15" s="1">
        <f>+E12+E14</f>
        <v>6531261.0558362501</v>
      </c>
      <c r="G15" s="1">
        <f>+G12+G14</f>
        <v>11922039.116675125</v>
      </c>
      <c r="H15" s="1">
        <f>+H12+H14</f>
        <v>6680058.2363583073</v>
      </c>
      <c r="I15" s="1">
        <f>+I12+I14</f>
        <v>0</v>
      </c>
      <c r="J15" s="1">
        <f>+J12+J14</f>
        <v>0</v>
      </c>
      <c r="K15" s="1">
        <f>SUM(B15:J15)</f>
        <v>57225538.859999999</v>
      </c>
    </row>
    <row r="17" spans="1:11" x14ac:dyDescent="0.2">
      <c r="A17" t="s">
        <v>6</v>
      </c>
      <c r="B17" s="1">
        <f>B$9/($K$9-$J$9-$I$9-$H$9)*-$H$17</f>
        <v>4228514.8413468525</v>
      </c>
      <c r="C17" s="1">
        <f>C$9/($K$9-$J$9-$I$9-$H$9)*-$H$17</f>
        <v>0</v>
      </c>
      <c r="D17" s="1">
        <f>D$9/($K$9-$J$9-$I$9-$H$9)*-$H$17</f>
        <v>12767.103155997755</v>
      </c>
      <c r="E17" s="1">
        <f>E$9/($K$9-$J$9-$I$9-$H$9)*-$H$17</f>
        <v>863167.26384907437</v>
      </c>
      <c r="G17" s="1">
        <f>G$9/($K$9-$J$9-$I$9-$H$9)*-$H$17</f>
        <v>1575609.0280063841</v>
      </c>
      <c r="H17" s="1">
        <f>-H15</f>
        <v>-6680058.2363583073</v>
      </c>
      <c r="K17" s="1">
        <v>0</v>
      </c>
    </row>
    <row r="18" spans="1:11" x14ac:dyDescent="0.2">
      <c r="A18" t="s">
        <v>4</v>
      </c>
      <c r="B18" s="1">
        <f>+B15+B17</f>
        <v>36224091.439283326</v>
      </c>
      <c r="C18" s="1">
        <f>+C15+C17</f>
        <v>0</v>
      </c>
      <c r="D18" s="1">
        <f>+D15+D17</f>
        <v>109370.95634984665</v>
      </c>
      <c r="E18" s="1">
        <f>+E15+E17</f>
        <v>7394428.3196853241</v>
      </c>
      <c r="G18" s="1">
        <f>+G15+G17</f>
        <v>13497648.14468151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57225538.860000014</v>
      </c>
    </row>
    <row r="20" spans="1:11" x14ac:dyDescent="0.2">
      <c r="A20" t="s">
        <v>7</v>
      </c>
      <c r="B20" s="1">
        <f>B$9/($K$9-$J$9-$I$9-$H$9-$G$9)*-$G$20</f>
        <v>11181422.945628921</v>
      </c>
      <c r="C20" s="1">
        <f>C$9/($K$9-$J$9-$I$9-$H$9-$G$9)*-$G$20</f>
        <v>0</v>
      </c>
      <c r="D20" s="1">
        <f>D$9/($K$9-$J$9-$I$9-$H$9-$G$9)*-$G$20</f>
        <v>33759.933578053853</v>
      </c>
      <c r="E20" s="1">
        <f>E$9/($K$9-$J$9-$I$9-$H$9-$G$9)*-$G$20</f>
        <v>2282465.2654745388</v>
      </c>
      <c r="G20" s="1">
        <f>-G18</f>
        <v>-13497648.14468151</v>
      </c>
      <c r="K20" s="1">
        <f>SUM(B20:J20)</f>
        <v>0</v>
      </c>
    </row>
    <row r="22" spans="1:11" x14ac:dyDescent="0.2">
      <c r="A22" t="s">
        <v>8</v>
      </c>
      <c r="B22" s="1">
        <f>+B20+B18</f>
        <v>47405514.384912245</v>
      </c>
      <c r="C22" s="1">
        <f t="shared" ref="C22:K22" si="3">+C20+C18</f>
        <v>0</v>
      </c>
      <c r="D22" s="1">
        <f t="shared" si="3"/>
        <v>143130.88992790051</v>
      </c>
      <c r="E22" s="1">
        <f t="shared" si="3"/>
        <v>9676893.5851598624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57225538.860000014</v>
      </c>
    </row>
    <row r="27" spans="1:11" x14ac:dyDescent="0.2">
      <c r="A27" t="s">
        <v>9</v>
      </c>
      <c r="B27" s="1">
        <f>+B9</f>
        <v>23319873.859999999</v>
      </c>
    </row>
    <row r="28" spans="1:11" x14ac:dyDescent="0.2">
      <c r="A28" t="s">
        <v>10</v>
      </c>
      <c r="B28" s="1">
        <f>+B22-B27</f>
        <v>24085640.524912246</v>
      </c>
    </row>
    <row r="29" spans="1:11" x14ac:dyDescent="0.2">
      <c r="A29" s="29" t="s">
        <v>170</v>
      </c>
      <c r="B29" s="1">
        <v>4067</v>
      </c>
    </row>
    <row r="30" spans="1:11" x14ac:dyDescent="0.2">
      <c r="A30" t="s">
        <v>11</v>
      </c>
      <c r="B30" s="1">
        <f>+B28/B29</f>
        <v>5922.2130624323199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3912116.98</v>
      </c>
      <c r="C9" s="1">
        <f>'Master Expend Table'!C12</f>
        <v>0</v>
      </c>
      <c r="D9" s="1">
        <f>'Master Expend Table'!D12</f>
        <v>8774.19</v>
      </c>
      <c r="E9" s="1">
        <f>'Master Expend Table'!E12</f>
        <v>158381.20000000001</v>
      </c>
      <c r="G9" s="1">
        <f>'Master Expend Table'!G12</f>
        <v>385823.14</v>
      </c>
      <c r="H9" s="1">
        <f>'Master Expend Table'!H12</f>
        <v>1506460.58</v>
      </c>
      <c r="I9" s="1">
        <f>'Master Expend Table'!I12</f>
        <v>1875959.64</v>
      </c>
      <c r="J9" s="1">
        <f>'Master Expend Table'!J12</f>
        <v>577952.56000000006</v>
      </c>
      <c r="K9" s="1">
        <f>SUM(B9:J9)</f>
        <v>8425468.2899999991</v>
      </c>
    </row>
    <row r="11" spans="1:11" x14ac:dyDescent="0.2">
      <c r="A11" t="s">
        <v>3</v>
      </c>
      <c r="B11" s="1">
        <f>(B9/($K9-$J9))*-$J$11</f>
        <v>288118.95399800228</v>
      </c>
      <c r="C11" s="1">
        <f t="shared" ref="C11:I11" si="0">(C9/($K9-$J9))*-$J$11</f>
        <v>0</v>
      </c>
      <c r="D11" s="1">
        <f t="shared" si="0"/>
        <v>646.20011566722928</v>
      </c>
      <c r="E11" s="1">
        <f t="shared" si="0"/>
        <v>11664.432814825595</v>
      </c>
      <c r="G11" s="1">
        <f t="shared" si="0"/>
        <v>28415.039758096602</v>
      </c>
      <c r="H11" s="1">
        <f t="shared" si="0"/>
        <v>110947.56336985197</v>
      </c>
      <c r="I11" s="1">
        <f t="shared" si="0"/>
        <v>138160.36994355649</v>
      </c>
      <c r="J11" s="1">
        <f>-J9</f>
        <v>-577952.56000000006</v>
      </c>
      <c r="K11" s="1">
        <v>0</v>
      </c>
    </row>
    <row r="12" spans="1:11" x14ac:dyDescent="0.2">
      <c r="A12" t="s">
        <v>4</v>
      </c>
      <c r="B12" s="1">
        <f>+B9+B11</f>
        <v>4200235.9339980027</v>
      </c>
      <c r="C12" s="1">
        <f t="shared" ref="C12:J12" si="1">+C9+C11</f>
        <v>0</v>
      </c>
      <c r="D12" s="1">
        <f t="shared" si="1"/>
        <v>9420.3901156672291</v>
      </c>
      <c r="E12" s="1">
        <f t="shared" si="1"/>
        <v>170045.6328148256</v>
      </c>
      <c r="G12" s="1">
        <f t="shared" si="1"/>
        <v>414238.17975809664</v>
      </c>
      <c r="H12" s="1">
        <f t="shared" si="1"/>
        <v>1617408.1433698521</v>
      </c>
      <c r="I12" s="1">
        <f t="shared" si="1"/>
        <v>2014120.0099435565</v>
      </c>
      <c r="J12" s="1">
        <f t="shared" si="1"/>
        <v>0</v>
      </c>
      <c r="K12" s="1">
        <f>SUM(B12:J12)</f>
        <v>8425468.290000001</v>
      </c>
    </row>
    <row r="14" spans="1:11" x14ac:dyDescent="0.2">
      <c r="A14" t="s">
        <v>5</v>
      </c>
      <c r="B14" s="1">
        <f>B$9/($K$9-$J$9-$I$9)*-I14</f>
        <v>1319500.8088181512</v>
      </c>
      <c r="C14" s="1">
        <f t="shared" ref="C14:H14" si="2">C$9/($K$9-$J$9-$I$9)*-$I$14</f>
        <v>0</v>
      </c>
      <c r="D14" s="1">
        <f t="shared" si="2"/>
        <v>2959.4081314317282</v>
      </c>
      <c r="E14" s="1">
        <f t="shared" si="2"/>
        <v>53419.701550332837</v>
      </c>
      <c r="G14" s="1">
        <f t="shared" si="2"/>
        <v>130132.59774526449</v>
      </c>
      <c r="H14" s="1">
        <f t="shared" si="2"/>
        <v>508107.49369837652</v>
      </c>
      <c r="I14" s="1">
        <f>-I12</f>
        <v>-2014120.0099435565</v>
      </c>
      <c r="K14" s="1">
        <v>0</v>
      </c>
    </row>
    <row r="15" spans="1:11" x14ac:dyDescent="0.2">
      <c r="A15" t="s">
        <v>4</v>
      </c>
      <c r="B15" s="1">
        <f>+B12+B14</f>
        <v>5519736.7428161539</v>
      </c>
      <c r="C15" s="1">
        <f>+C12+C14</f>
        <v>0</v>
      </c>
      <c r="D15" s="1">
        <f>+D12+D14</f>
        <v>12379.798247098957</v>
      </c>
      <c r="E15" s="1">
        <f>+E12+E14</f>
        <v>223465.33436515843</v>
      </c>
      <c r="G15" s="1">
        <f>+G12+G14</f>
        <v>544370.77750336111</v>
      </c>
      <c r="H15" s="1">
        <f>+H12+H14</f>
        <v>2125515.6370682288</v>
      </c>
      <c r="I15" s="1">
        <f>+I12+I14</f>
        <v>0</v>
      </c>
      <c r="J15" s="1">
        <f>+J12+J14</f>
        <v>0</v>
      </c>
      <c r="K15" s="1">
        <f>SUM(B15:J15)</f>
        <v>8425468.290000001</v>
      </c>
    </row>
    <row r="17" spans="1:11" x14ac:dyDescent="0.2">
      <c r="A17" t="s">
        <v>6</v>
      </c>
      <c r="B17" s="1">
        <f>B$9/($K$9-$J$9-$I$9-$H$9)*-$H$17</f>
        <v>1862281.7353866943</v>
      </c>
      <c r="C17" s="1">
        <f>C$9/($K$9-$J$9-$I$9-$H$9)*-$H$17</f>
        <v>0</v>
      </c>
      <c r="D17" s="1">
        <f>D$9/($K$9-$J$9-$I$9-$H$9)*-$H$17</f>
        <v>4176.7702406006738</v>
      </c>
      <c r="E17" s="1">
        <f>E$9/($K$9-$J$9-$I$9-$H$9)*-$H$17</f>
        <v>75394.0686069738</v>
      </c>
      <c r="G17" s="1">
        <f>G$9/($K$9-$J$9-$I$9-$H$9)*-$H$17</f>
        <v>183663.06283396043</v>
      </c>
      <c r="H17" s="1">
        <f>-H15</f>
        <v>-2125515.6370682288</v>
      </c>
      <c r="K17" s="1">
        <v>0</v>
      </c>
    </row>
    <row r="18" spans="1:11" x14ac:dyDescent="0.2">
      <c r="A18" t="s">
        <v>4</v>
      </c>
      <c r="B18" s="1">
        <f>+B15+B17</f>
        <v>7382018.4782028478</v>
      </c>
      <c r="C18" s="1">
        <f>+C15+C17</f>
        <v>0</v>
      </c>
      <c r="D18" s="1">
        <f>+D15+D17</f>
        <v>16556.568487699631</v>
      </c>
      <c r="E18" s="1">
        <f>+E15+E17</f>
        <v>298859.4029721322</v>
      </c>
      <c r="G18" s="1">
        <f>+G15+G17</f>
        <v>728033.84033732151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8425468.290000001</v>
      </c>
    </row>
    <row r="20" spans="1:11" x14ac:dyDescent="0.2">
      <c r="A20" t="s">
        <v>7</v>
      </c>
      <c r="B20" s="1">
        <f>B$9/($K$9-$J$9-$I$9-$H$9-$G$9)*-$G$20</f>
        <v>698201.36790675856</v>
      </c>
      <c r="C20" s="1">
        <f>C$9/($K$9-$J$9-$I$9-$H$9-$G$9)*-$G$20</f>
        <v>0</v>
      </c>
      <c r="D20" s="1">
        <f>D$9/($K$9-$J$9-$I$9-$H$9-$G$9)*-$G$20</f>
        <v>1565.9428109109872</v>
      </c>
      <c r="E20" s="1">
        <f>E$9/($K$9-$J$9-$I$9-$H$9-$G$9)*-$G$20</f>
        <v>28266.529619652105</v>
      </c>
      <c r="G20" s="1">
        <f>-G18</f>
        <v>-728033.84033732151</v>
      </c>
      <c r="K20" s="1">
        <f>SUM(B20:J20)</f>
        <v>0</v>
      </c>
    </row>
    <row r="22" spans="1:11" x14ac:dyDescent="0.2">
      <c r="A22" t="s">
        <v>8</v>
      </c>
      <c r="B22" s="1">
        <f>+B20+B18</f>
        <v>8080219.8461096063</v>
      </c>
      <c r="C22" s="1">
        <f t="shared" ref="C22:K22" si="3">+C20+C18</f>
        <v>0</v>
      </c>
      <c r="D22" s="1">
        <f t="shared" si="3"/>
        <v>18122.511298610618</v>
      </c>
      <c r="E22" s="1">
        <f t="shared" si="3"/>
        <v>327125.93259178428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8425468.290000001</v>
      </c>
    </row>
    <row r="27" spans="1:11" x14ac:dyDescent="0.2">
      <c r="A27" t="s">
        <v>9</v>
      </c>
      <c r="B27" s="1">
        <f>+B9</f>
        <v>3912116.98</v>
      </c>
    </row>
    <row r="28" spans="1:11" x14ac:dyDescent="0.2">
      <c r="A28" t="s">
        <v>10</v>
      </c>
      <c r="B28" s="1">
        <f>+B22-B27</f>
        <v>4168102.8661096063</v>
      </c>
    </row>
    <row r="29" spans="1:11" x14ac:dyDescent="0.2">
      <c r="A29" s="29" t="s">
        <v>170</v>
      </c>
      <c r="B29" s="1">
        <v>564</v>
      </c>
    </row>
    <row r="30" spans="1:11" x14ac:dyDescent="0.2">
      <c r="A30" t="s">
        <v>11</v>
      </c>
      <c r="B30" s="1">
        <f>+B28/B29</f>
        <v>7390.253308704976</v>
      </c>
    </row>
  </sheetData>
  <phoneticPr fontId="11" type="noConversion"/>
  <pageMargins left="0.75" right="0.75" top="1" bottom="1" header="0.5" footer="0.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Combined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2021-05-21T20:21:00Z</dcterms:modified>
</cp:coreProperties>
</file>