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inance\bargain\000_Allocation Framework\Cost Studies\FY2024\"/>
    </mc:Choice>
  </mc:AlternateContent>
  <xr:revisionPtr revIDLastSave="0" documentId="13_ncr:1_{CCC1B9EF-370B-47E8-A82B-226E8714ADCD}" xr6:coauthVersionLast="36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aster Expend Table" sheetId="43" r:id="rId1"/>
    <sheet name="System" sheetId="38" r:id="rId2"/>
    <sheet name="ALEX TC" sheetId="1" r:id="rId3"/>
    <sheet name="ARCCATC" sheetId="48" r:id="rId4"/>
    <sheet name="ANOKARAM CC" sheetId="11" r:id="rId5"/>
    <sheet name="ANOKA TC" sheetId="12" r:id="rId6"/>
    <sheet name="BSU &amp; TC" sheetId="44" r:id="rId7"/>
    <sheet name="BEMIDJI SU" sheetId="37" r:id="rId8"/>
    <sheet name="NTC-Bemidji" sheetId="45" r:id="rId9"/>
    <sheet name="CENTRAL LAKES" sheetId="36" r:id="rId10"/>
    <sheet name="CENTURY" sheetId="35" r:id="rId11"/>
    <sheet name="Sheet2" sheetId="49" r:id="rId12"/>
    <sheet name="DAKCTY TC" sheetId="34" r:id="rId13"/>
    <sheet name="INVER HILLS" sheetId="29" r:id="rId14"/>
    <sheet name="FDL CC" sheetId="32" r:id="rId15"/>
    <sheet name="HENN TC" sheetId="31" r:id="rId16"/>
    <sheet name="LAKE SUPERIOR" sheetId="27" r:id="rId17"/>
    <sheet name="METRO SU" sheetId="25" r:id="rId18"/>
    <sheet name="MPLS COLLEGE" sheetId="24" r:id="rId19"/>
    <sheet name="MN SC-SOUTHEAST" sheetId="23" r:id="rId20"/>
    <sheet name="MINNESOTA STATE COLLEGE" sheetId="46" r:id="rId21"/>
    <sheet name="MSU MOORHEAD" sheetId="20" r:id="rId22"/>
    <sheet name="MSU MANKATO" sheetId="22" r:id="rId23"/>
    <sheet name="MN WEST" sheetId="21" r:id="rId24"/>
    <sheet name="NORMANDALE" sheetId="19" r:id="rId25"/>
    <sheet name="NO HENN CC" sheetId="18" r:id="rId26"/>
    <sheet name="MN North" sheetId="39" r:id="rId27"/>
    <sheet name="HIBBING" sheetId="30" state="hidden" r:id="rId28"/>
    <sheet name="ITASCA CC" sheetId="28" state="hidden" r:id="rId29"/>
    <sheet name="MESABI RANGE" sheetId="40" state="hidden" r:id="rId30"/>
    <sheet name="RAINY RIVER" sheetId="14" state="hidden" r:id="rId31"/>
    <sheet name="VERMILION" sheetId="41" state="hidden" r:id="rId32"/>
    <sheet name="NORTHLAND" sheetId="17" r:id="rId33"/>
    <sheet name="PINE TC" sheetId="15" r:id="rId34"/>
    <sheet name="RIDGEWATER" sheetId="13" r:id="rId35"/>
    <sheet name="RIVERLAND" sheetId="10" r:id="rId36"/>
    <sheet name="ROCHESTER" sheetId="9" r:id="rId37"/>
    <sheet name="SAINT PAUL" sheetId="4" r:id="rId38"/>
    <sheet name="SOUTH CENTRAL" sheetId="8" r:id="rId39"/>
    <sheet name="SOUTHWEST MN SU" sheetId="7" r:id="rId40"/>
    <sheet name="ST CLOUD SU" sheetId="6" r:id="rId41"/>
    <sheet name="ST CLOUD TCC" sheetId="5" r:id="rId42"/>
    <sheet name="WINONA SU" sheetId="2" r:id="rId43"/>
  </sheets>
  <definedNames>
    <definedName name="FY2022_Step_Down_for_Cost_Study">#REF!</definedName>
  </definedNames>
  <calcPr calcId="191029"/>
</workbook>
</file>

<file path=xl/calcChain.xml><?xml version="1.0" encoding="utf-8"?>
<calcChain xmlns="http://schemas.openxmlformats.org/spreadsheetml/2006/main">
  <c r="E30" i="43" l="1"/>
  <c r="E26" i="43"/>
  <c r="E13" i="43"/>
  <c r="E8" i="43"/>
  <c r="E6" i="43"/>
  <c r="A1" i="1" l="1"/>
  <c r="K41" i="43" l="1"/>
  <c r="B29" i="49" l="1"/>
  <c r="A1" i="49"/>
  <c r="J15" i="43"/>
  <c r="J9" i="49" s="1"/>
  <c r="I15" i="43"/>
  <c r="I9" i="49" s="1"/>
  <c r="H15" i="43"/>
  <c r="H9" i="49" s="1"/>
  <c r="G15" i="43"/>
  <c r="G9" i="49" s="1"/>
  <c r="E15" i="43"/>
  <c r="E9" i="49" s="1"/>
  <c r="D15" i="43"/>
  <c r="D9" i="49" s="1"/>
  <c r="C15" i="43"/>
  <c r="C9" i="49" s="1"/>
  <c r="B15" i="43"/>
  <c r="B9" i="49" s="1"/>
  <c r="K9" i="49" l="1"/>
  <c r="J11" i="49"/>
  <c r="J12" i="49" s="1"/>
  <c r="J15" i="49" s="1"/>
  <c r="J18" i="49" s="1"/>
  <c r="J22" i="49" s="1"/>
  <c r="B27" i="49"/>
  <c r="B29" i="48"/>
  <c r="A1" i="48"/>
  <c r="J7" i="43"/>
  <c r="I7" i="43"/>
  <c r="H7" i="43"/>
  <c r="G7" i="43"/>
  <c r="E7" i="43"/>
  <c r="D7" i="43"/>
  <c r="C7" i="43"/>
  <c r="C43" i="43" s="1"/>
  <c r="B7" i="43"/>
  <c r="B11" i="49" l="1"/>
  <c r="B12" i="49" s="1"/>
  <c r="I9" i="48"/>
  <c r="B9" i="48"/>
  <c r="B27" i="48" s="1"/>
  <c r="G9" i="48"/>
  <c r="J9" i="48"/>
  <c r="J11" i="48" s="1"/>
  <c r="C9" i="48"/>
  <c r="D9" i="48"/>
  <c r="E9" i="48"/>
  <c r="H9" i="48"/>
  <c r="D11" i="49"/>
  <c r="D12" i="49" s="1"/>
  <c r="C11" i="49"/>
  <c r="C12" i="49" s="1"/>
  <c r="E11" i="49"/>
  <c r="E12" i="49" s="1"/>
  <c r="I11" i="49"/>
  <c r="I12" i="49" s="1"/>
  <c r="H11" i="49"/>
  <c r="H12" i="49" s="1"/>
  <c r="G11" i="49"/>
  <c r="G12" i="49" s="1"/>
  <c r="K7" i="43"/>
  <c r="K25" i="43"/>
  <c r="K9" i="48" l="1"/>
  <c r="B11" i="48" s="1"/>
  <c r="B12" i="48" s="1"/>
  <c r="K12" i="49"/>
  <c r="I14" i="49"/>
  <c r="I15" i="49" s="1"/>
  <c r="I18" i="49" s="1"/>
  <c r="I22" i="49" s="1"/>
  <c r="J12" i="48"/>
  <c r="J15" i="48" s="1"/>
  <c r="J18" i="48" s="1"/>
  <c r="J22" i="48" s="1"/>
  <c r="B9" i="45"/>
  <c r="B27" i="45" s="1"/>
  <c r="C9" i="45"/>
  <c r="D9" i="45"/>
  <c r="E9" i="45"/>
  <c r="G9" i="45"/>
  <c r="H9" i="45"/>
  <c r="I9" i="45"/>
  <c r="J9" i="45"/>
  <c r="J11" i="45" s="1"/>
  <c r="B10" i="43"/>
  <c r="B43" i="43" s="1"/>
  <c r="B9" i="37"/>
  <c r="B27" i="37" s="1"/>
  <c r="C9" i="37"/>
  <c r="D9" i="37"/>
  <c r="E9" i="37"/>
  <c r="G9" i="37"/>
  <c r="H9" i="37"/>
  <c r="I9" i="37"/>
  <c r="J9" i="37"/>
  <c r="J11" i="37" s="1"/>
  <c r="J12" i="37" s="1"/>
  <c r="J15" i="37" s="1"/>
  <c r="J18" i="37" s="1"/>
  <c r="J22" i="37" s="1"/>
  <c r="I9" i="2"/>
  <c r="G9" i="2"/>
  <c r="I9" i="5"/>
  <c r="G9" i="5"/>
  <c r="I9" i="6"/>
  <c r="G9" i="6"/>
  <c r="I9" i="7"/>
  <c r="G9" i="7"/>
  <c r="I9" i="8"/>
  <c r="G9" i="8"/>
  <c r="I9" i="4"/>
  <c r="G9" i="4"/>
  <c r="I9" i="9"/>
  <c r="G9" i="9"/>
  <c r="I9" i="10"/>
  <c r="G9" i="10"/>
  <c r="I9" i="13"/>
  <c r="G9" i="13"/>
  <c r="I9" i="15"/>
  <c r="G9" i="15"/>
  <c r="I9" i="17"/>
  <c r="G9" i="17"/>
  <c r="I9" i="41"/>
  <c r="G9" i="41"/>
  <c r="I9" i="14"/>
  <c r="G9" i="14"/>
  <c r="I9" i="40"/>
  <c r="G9" i="40"/>
  <c r="I9" i="28"/>
  <c r="G9" i="28"/>
  <c r="I9" i="30"/>
  <c r="G9" i="30"/>
  <c r="I9" i="18"/>
  <c r="G9" i="18"/>
  <c r="I9" i="19"/>
  <c r="G9" i="19"/>
  <c r="I9" i="21"/>
  <c r="G9" i="21"/>
  <c r="I9" i="22"/>
  <c r="G9" i="22"/>
  <c r="I9" i="20"/>
  <c r="G9" i="20"/>
  <c r="I9" i="46"/>
  <c r="G9" i="46"/>
  <c r="I9" i="23"/>
  <c r="G9" i="23"/>
  <c r="I9" i="24"/>
  <c r="G9" i="24"/>
  <c r="I9" i="25"/>
  <c r="G9" i="25"/>
  <c r="I9" i="27"/>
  <c r="G9" i="27"/>
  <c r="I9" i="29"/>
  <c r="G9" i="29"/>
  <c r="I9" i="31"/>
  <c r="G9" i="31"/>
  <c r="I9" i="32"/>
  <c r="G9" i="32"/>
  <c r="I9" i="34"/>
  <c r="G9" i="34"/>
  <c r="I9" i="35"/>
  <c r="G9" i="35"/>
  <c r="I9" i="36"/>
  <c r="G9" i="36"/>
  <c r="I9" i="12"/>
  <c r="G9" i="12"/>
  <c r="I9" i="11"/>
  <c r="G9" i="11"/>
  <c r="I9" i="1"/>
  <c r="G9" i="1"/>
  <c r="G10" i="43"/>
  <c r="G43" i="43" s="1"/>
  <c r="I10" i="43"/>
  <c r="I43" i="43" s="1"/>
  <c r="E10" i="43"/>
  <c r="E43" i="43" s="1"/>
  <c r="D10" i="43"/>
  <c r="D43" i="43" s="1"/>
  <c r="C10" i="43"/>
  <c r="J10" i="43"/>
  <c r="J43" i="43" s="1"/>
  <c r="H10" i="43"/>
  <c r="H43" i="43" s="1"/>
  <c r="K6" i="43"/>
  <c r="K8" i="43"/>
  <c r="K9" i="43"/>
  <c r="K11" i="43"/>
  <c r="K12" i="43"/>
  <c r="K13" i="43"/>
  <c r="K14" i="43"/>
  <c r="K16" i="43"/>
  <c r="K18" i="43"/>
  <c r="K19" i="43"/>
  <c r="K17" i="43"/>
  <c r="K20" i="43"/>
  <c r="K21" i="43"/>
  <c r="K22" i="43"/>
  <c r="K23" i="43"/>
  <c r="K24" i="43"/>
  <c r="K26" i="43"/>
  <c r="K27" i="43"/>
  <c r="K28" i="43"/>
  <c r="K29" i="43"/>
  <c r="C9" i="39"/>
  <c r="J9" i="39"/>
  <c r="K31" i="43"/>
  <c r="K32" i="43"/>
  <c r="K33" i="43"/>
  <c r="K34" i="43"/>
  <c r="K35" i="43"/>
  <c r="K36" i="43"/>
  <c r="K37" i="43"/>
  <c r="K38" i="43"/>
  <c r="K39" i="43"/>
  <c r="K40" i="43"/>
  <c r="B29" i="44"/>
  <c r="J9" i="46"/>
  <c r="J11" i="46" s="1"/>
  <c r="H9" i="46"/>
  <c r="E9" i="46"/>
  <c r="D9" i="46"/>
  <c r="C9" i="46"/>
  <c r="B9" i="46"/>
  <c r="A1" i="46"/>
  <c r="A1" i="45"/>
  <c r="A1" i="44"/>
  <c r="J9" i="2"/>
  <c r="J11" i="2" s="1"/>
  <c r="J12" i="2" s="1"/>
  <c r="J15" i="2" s="1"/>
  <c r="J18" i="2" s="1"/>
  <c r="J22" i="2" s="1"/>
  <c r="H9" i="2"/>
  <c r="E9" i="2"/>
  <c r="D9" i="2"/>
  <c r="C9" i="2"/>
  <c r="B9" i="2"/>
  <c r="B27" i="2" s="1"/>
  <c r="J9" i="5"/>
  <c r="J11" i="5" s="1"/>
  <c r="J12" i="5" s="1"/>
  <c r="J15" i="5" s="1"/>
  <c r="J18" i="5" s="1"/>
  <c r="J22" i="5" s="1"/>
  <c r="H9" i="5"/>
  <c r="E9" i="5"/>
  <c r="D9" i="5"/>
  <c r="C9" i="5"/>
  <c r="B9" i="5"/>
  <c r="B27" i="5" s="1"/>
  <c r="J9" i="6"/>
  <c r="J11" i="6" s="1"/>
  <c r="J12" i="6" s="1"/>
  <c r="J15" i="6" s="1"/>
  <c r="J18" i="6" s="1"/>
  <c r="J22" i="6" s="1"/>
  <c r="H9" i="6"/>
  <c r="E9" i="6"/>
  <c r="D9" i="6"/>
  <c r="C9" i="6"/>
  <c r="B9" i="6"/>
  <c r="B27" i="6" s="1"/>
  <c r="J9" i="7"/>
  <c r="J11" i="7" s="1"/>
  <c r="J12" i="7" s="1"/>
  <c r="J15" i="7" s="1"/>
  <c r="J18" i="7" s="1"/>
  <c r="J22" i="7" s="1"/>
  <c r="H9" i="7"/>
  <c r="E9" i="7"/>
  <c r="D9" i="7"/>
  <c r="C9" i="7"/>
  <c r="B9" i="7"/>
  <c r="B27" i="7" s="1"/>
  <c r="J9" i="8"/>
  <c r="J11" i="8" s="1"/>
  <c r="J12" i="8" s="1"/>
  <c r="J15" i="8" s="1"/>
  <c r="J18" i="8" s="1"/>
  <c r="J22" i="8" s="1"/>
  <c r="H9" i="8"/>
  <c r="E9" i="8"/>
  <c r="D9" i="8"/>
  <c r="C9" i="8"/>
  <c r="B9" i="8"/>
  <c r="B27" i="8" s="1"/>
  <c r="J9" i="4"/>
  <c r="J11" i="4" s="1"/>
  <c r="J12" i="4" s="1"/>
  <c r="J15" i="4" s="1"/>
  <c r="J18" i="4" s="1"/>
  <c r="J22" i="4" s="1"/>
  <c r="H9" i="4"/>
  <c r="E9" i="4"/>
  <c r="D9" i="4"/>
  <c r="C9" i="4"/>
  <c r="B9" i="4"/>
  <c r="B27" i="4" s="1"/>
  <c r="J9" i="9"/>
  <c r="J11" i="9" s="1"/>
  <c r="J12" i="9" s="1"/>
  <c r="J15" i="9" s="1"/>
  <c r="J18" i="9" s="1"/>
  <c r="J22" i="9" s="1"/>
  <c r="H9" i="9"/>
  <c r="E9" i="9"/>
  <c r="D9" i="9"/>
  <c r="C9" i="9"/>
  <c r="B9" i="9"/>
  <c r="B27" i="9" s="1"/>
  <c r="J9" i="10"/>
  <c r="J11" i="10" s="1"/>
  <c r="J12" i="10" s="1"/>
  <c r="J15" i="10" s="1"/>
  <c r="J18" i="10" s="1"/>
  <c r="J22" i="10" s="1"/>
  <c r="H9" i="10"/>
  <c r="E9" i="10"/>
  <c r="D9" i="10"/>
  <c r="C9" i="10"/>
  <c r="B9" i="10"/>
  <c r="B27" i="10" s="1"/>
  <c r="J9" i="13"/>
  <c r="J11" i="13" s="1"/>
  <c r="J12" i="13" s="1"/>
  <c r="J15" i="13" s="1"/>
  <c r="J18" i="13" s="1"/>
  <c r="J22" i="13" s="1"/>
  <c r="H9" i="13"/>
  <c r="E9" i="13"/>
  <c r="D9" i="13"/>
  <c r="C9" i="13"/>
  <c r="B9" i="13"/>
  <c r="B27" i="13" s="1"/>
  <c r="J9" i="15"/>
  <c r="J11" i="15" s="1"/>
  <c r="J12" i="15" s="1"/>
  <c r="J15" i="15" s="1"/>
  <c r="J18" i="15" s="1"/>
  <c r="J22" i="15" s="1"/>
  <c r="H9" i="15"/>
  <c r="E9" i="15"/>
  <c r="D9" i="15"/>
  <c r="C9" i="15"/>
  <c r="B9" i="15"/>
  <c r="B27" i="15" s="1"/>
  <c r="J9" i="17"/>
  <c r="J11" i="17" s="1"/>
  <c r="J12" i="17" s="1"/>
  <c r="J15" i="17" s="1"/>
  <c r="J18" i="17" s="1"/>
  <c r="J22" i="17" s="1"/>
  <c r="H9" i="17"/>
  <c r="E9" i="17"/>
  <c r="D9" i="17"/>
  <c r="C9" i="17"/>
  <c r="B9" i="17"/>
  <c r="B27" i="17" s="1"/>
  <c r="J9" i="41"/>
  <c r="J11" i="41" s="1"/>
  <c r="H9" i="41"/>
  <c r="E9" i="41"/>
  <c r="D9" i="41"/>
  <c r="C9" i="41"/>
  <c r="B9" i="41"/>
  <c r="B27" i="41" s="1"/>
  <c r="J9" i="14"/>
  <c r="H9" i="14"/>
  <c r="E9" i="14"/>
  <c r="D9" i="14"/>
  <c r="C9" i="14"/>
  <c r="B9" i="14"/>
  <c r="B27" i="14" s="1"/>
  <c r="J9" i="40"/>
  <c r="H9" i="40"/>
  <c r="E9" i="40"/>
  <c r="D9" i="40"/>
  <c r="C9" i="40"/>
  <c r="B9" i="40"/>
  <c r="B27" i="40" s="1"/>
  <c r="J9" i="28"/>
  <c r="H9" i="28"/>
  <c r="E9" i="28"/>
  <c r="D9" i="28"/>
  <c r="C9" i="28"/>
  <c r="B9" i="28"/>
  <c r="B27" i="28" s="1"/>
  <c r="J9" i="30"/>
  <c r="J11" i="30" s="1"/>
  <c r="J12" i="30" s="1"/>
  <c r="J15" i="30" s="1"/>
  <c r="J18" i="30" s="1"/>
  <c r="J22" i="30" s="1"/>
  <c r="H9" i="30"/>
  <c r="E9" i="30"/>
  <c r="D9" i="30"/>
  <c r="C9" i="30"/>
  <c r="B9" i="30"/>
  <c r="B27" i="30" s="1"/>
  <c r="J9" i="18"/>
  <c r="J11" i="18" s="1"/>
  <c r="J12" i="18" s="1"/>
  <c r="J15" i="18" s="1"/>
  <c r="J18" i="18" s="1"/>
  <c r="J22" i="18" s="1"/>
  <c r="H9" i="18"/>
  <c r="E9" i="18"/>
  <c r="D9" i="18"/>
  <c r="C9" i="18"/>
  <c r="B9" i="18"/>
  <c r="J9" i="19"/>
  <c r="J11" i="19" s="1"/>
  <c r="H9" i="19"/>
  <c r="E9" i="19"/>
  <c r="D9" i="19"/>
  <c r="C9" i="19"/>
  <c r="B9" i="19"/>
  <c r="B27" i="19" s="1"/>
  <c r="J9" i="21"/>
  <c r="J11" i="21" s="1"/>
  <c r="J12" i="21" s="1"/>
  <c r="J15" i="21" s="1"/>
  <c r="J18" i="21" s="1"/>
  <c r="J22" i="21" s="1"/>
  <c r="H9" i="21"/>
  <c r="E9" i="21"/>
  <c r="D9" i="21"/>
  <c r="C9" i="21"/>
  <c r="B9" i="21"/>
  <c r="B27" i="21" s="1"/>
  <c r="J9" i="22"/>
  <c r="J11" i="22" s="1"/>
  <c r="J12" i="22" s="1"/>
  <c r="J15" i="22" s="1"/>
  <c r="J18" i="22" s="1"/>
  <c r="J22" i="22" s="1"/>
  <c r="H9" i="22"/>
  <c r="E9" i="22"/>
  <c r="D9" i="22"/>
  <c r="C9" i="22"/>
  <c r="B9" i="22"/>
  <c r="J9" i="20"/>
  <c r="J11" i="20" s="1"/>
  <c r="J12" i="20" s="1"/>
  <c r="J15" i="20" s="1"/>
  <c r="J18" i="20" s="1"/>
  <c r="J22" i="20" s="1"/>
  <c r="H9" i="20"/>
  <c r="E9" i="20"/>
  <c r="D9" i="20"/>
  <c r="C9" i="20"/>
  <c r="B9" i="20"/>
  <c r="B27" i="20" s="1"/>
  <c r="J9" i="23"/>
  <c r="J11" i="23" s="1"/>
  <c r="J12" i="23" s="1"/>
  <c r="J15" i="23" s="1"/>
  <c r="J18" i="23" s="1"/>
  <c r="J22" i="23" s="1"/>
  <c r="H9" i="23"/>
  <c r="E9" i="23"/>
  <c r="D9" i="23"/>
  <c r="C9" i="23"/>
  <c r="B9" i="23"/>
  <c r="J9" i="24"/>
  <c r="J11" i="24" s="1"/>
  <c r="J12" i="24" s="1"/>
  <c r="J15" i="24" s="1"/>
  <c r="J18" i="24" s="1"/>
  <c r="J22" i="24" s="1"/>
  <c r="H9" i="24"/>
  <c r="E9" i="24"/>
  <c r="D9" i="24"/>
  <c r="C9" i="24"/>
  <c r="B9" i="24"/>
  <c r="J9" i="25"/>
  <c r="J11" i="25" s="1"/>
  <c r="J12" i="25" s="1"/>
  <c r="J15" i="25" s="1"/>
  <c r="J18" i="25" s="1"/>
  <c r="J22" i="25" s="1"/>
  <c r="H9" i="25"/>
  <c r="E9" i="25"/>
  <c r="D9" i="25"/>
  <c r="C9" i="25"/>
  <c r="B9" i="25"/>
  <c r="B27" i="25" s="1"/>
  <c r="J9" i="27"/>
  <c r="J11" i="27" s="1"/>
  <c r="J12" i="27" s="1"/>
  <c r="J15" i="27" s="1"/>
  <c r="J18" i="27" s="1"/>
  <c r="J22" i="27" s="1"/>
  <c r="H9" i="27"/>
  <c r="E9" i="27"/>
  <c r="D9" i="27"/>
  <c r="C9" i="27"/>
  <c r="B9" i="27"/>
  <c r="J9" i="29"/>
  <c r="J11" i="29" s="1"/>
  <c r="J12" i="29" s="1"/>
  <c r="J15" i="29" s="1"/>
  <c r="J18" i="29" s="1"/>
  <c r="J22" i="29" s="1"/>
  <c r="H9" i="29"/>
  <c r="E9" i="29"/>
  <c r="D9" i="29"/>
  <c r="C9" i="29"/>
  <c r="B9" i="29"/>
  <c r="J9" i="31"/>
  <c r="H9" i="31"/>
  <c r="E9" i="31"/>
  <c r="D9" i="31"/>
  <c r="C9" i="31"/>
  <c r="B9" i="31"/>
  <c r="B27" i="31" s="1"/>
  <c r="J9" i="32"/>
  <c r="J11" i="32" s="1"/>
  <c r="H9" i="32"/>
  <c r="E9" i="32"/>
  <c r="D9" i="32"/>
  <c r="C9" i="32"/>
  <c r="B9" i="32"/>
  <c r="B27" i="32" s="1"/>
  <c r="J9" i="34"/>
  <c r="J11" i="34" s="1"/>
  <c r="H9" i="34"/>
  <c r="E9" i="34"/>
  <c r="D9" i="34"/>
  <c r="C9" i="34"/>
  <c r="B9" i="34"/>
  <c r="B27" i="34" s="1"/>
  <c r="J9" i="35"/>
  <c r="J11" i="35" s="1"/>
  <c r="H9" i="35"/>
  <c r="E9" i="35"/>
  <c r="D9" i="35"/>
  <c r="C9" i="35"/>
  <c r="B9" i="35"/>
  <c r="B27" i="35" s="1"/>
  <c r="J9" i="36"/>
  <c r="J11" i="36" s="1"/>
  <c r="H9" i="36"/>
  <c r="E9" i="36"/>
  <c r="D9" i="36"/>
  <c r="C9" i="36"/>
  <c r="B9" i="36"/>
  <c r="B27" i="36" s="1"/>
  <c r="J9" i="12"/>
  <c r="J11" i="12" s="1"/>
  <c r="H9" i="12"/>
  <c r="E9" i="12"/>
  <c r="D9" i="12"/>
  <c r="C9" i="12"/>
  <c r="B9" i="12"/>
  <c r="B27" i="12" s="1"/>
  <c r="J9" i="11"/>
  <c r="J11" i="11" s="1"/>
  <c r="J12" i="11" s="1"/>
  <c r="J15" i="11" s="1"/>
  <c r="J18" i="11" s="1"/>
  <c r="J22" i="11" s="1"/>
  <c r="H9" i="11"/>
  <c r="E9" i="11"/>
  <c r="D9" i="11"/>
  <c r="C9" i="11"/>
  <c r="B9" i="11"/>
  <c r="B27" i="11" s="1"/>
  <c r="C9" i="1"/>
  <c r="J9" i="1"/>
  <c r="J11" i="1" s="1"/>
  <c r="H9" i="1"/>
  <c r="E9" i="1"/>
  <c r="D9" i="1"/>
  <c r="B9" i="1"/>
  <c r="A1" i="2"/>
  <c r="A1" i="4"/>
  <c r="A1" i="5"/>
  <c r="A1" i="6"/>
  <c r="A1" i="7"/>
  <c r="A1" i="8"/>
  <c r="A1" i="9"/>
  <c r="A1" i="10"/>
  <c r="A1" i="13"/>
  <c r="A1" i="15"/>
  <c r="A1" i="17"/>
  <c r="A1" i="41"/>
  <c r="A1" i="14"/>
  <c r="A1" i="40"/>
  <c r="A1" i="28"/>
  <c r="A1" i="39"/>
  <c r="A1" i="18"/>
  <c r="A1" i="19"/>
  <c r="A1" i="21"/>
  <c r="A1" i="22"/>
  <c r="A1" i="20"/>
  <c r="A1" i="23"/>
  <c r="A1" i="24"/>
  <c r="A1" i="25"/>
  <c r="A1" i="27"/>
  <c r="A1" i="29"/>
  <c r="A1" i="30"/>
  <c r="A1" i="31"/>
  <c r="A1" i="32"/>
  <c r="A1" i="34"/>
  <c r="A1" i="35"/>
  <c r="A1" i="36"/>
  <c r="A1" i="37"/>
  <c r="A1" i="11"/>
  <c r="A1" i="12"/>
  <c r="H11" i="48" l="1"/>
  <c r="H12" i="48" s="1"/>
  <c r="I11" i="48"/>
  <c r="I12" i="48" s="1"/>
  <c r="I14" i="48" s="1"/>
  <c r="C14" i="48" s="1"/>
  <c r="C11" i="48"/>
  <c r="C12" i="48" s="1"/>
  <c r="D11" i="48"/>
  <c r="D12" i="48" s="1"/>
  <c r="D9" i="38"/>
  <c r="C9" i="38"/>
  <c r="G11" i="48"/>
  <c r="G12" i="48" s="1"/>
  <c r="E11" i="48"/>
  <c r="E12" i="48" s="1"/>
  <c r="E9" i="38"/>
  <c r="I9" i="38"/>
  <c r="B9" i="38"/>
  <c r="B27" i="38" s="1"/>
  <c r="K15" i="43"/>
  <c r="H9" i="38"/>
  <c r="G9" i="38"/>
  <c r="J9" i="38"/>
  <c r="J11" i="38" s="1"/>
  <c r="J12" i="38" s="1"/>
  <c r="J15" i="38" s="1"/>
  <c r="J18" i="38" s="1"/>
  <c r="J22" i="38" s="1"/>
  <c r="D14" i="49"/>
  <c r="D15" i="49" s="1"/>
  <c r="E14" i="49"/>
  <c r="E15" i="49" s="1"/>
  <c r="B14" i="49"/>
  <c r="B15" i="49" s="1"/>
  <c r="G14" i="49"/>
  <c r="G15" i="49" s="1"/>
  <c r="C14" i="49"/>
  <c r="C15" i="49" s="1"/>
  <c r="H14" i="49"/>
  <c r="H15" i="49" s="1"/>
  <c r="J11" i="39"/>
  <c r="J12" i="39" s="1"/>
  <c r="J15" i="39" s="1"/>
  <c r="J18" i="39" s="1"/>
  <c r="J22" i="39" s="1"/>
  <c r="J12" i="45"/>
  <c r="J15" i="45" s="1"/>
  <c r="J18" i="45" s="1"/>
  <c r="J22" i="45" s="1"/>
  <c r="J12" i="12"/>
  <c r="J15" i="12" s="1"/>
  <c r="J18" i="12" s="1"/>
  <c r="J22" i="12" s="1"/>
  <c r="I9" i="39"/>
  <c r="K9" i="28"/>
  <c r="H9" i="39"/>
  <c r="G9" i="39"/>
  <c r="D9" i="39"/>
  <c r="B9" i="39"/>
  <c r="B27" i="39" s="1"/>
  <c r="K9" i="45"/>
  <c r="I11" i="45" s="1"/>
  <c r="I12" i="45" s="1"/>
  <c r="J9" i="44"/>
  <c r="J11" i="44" s="1"/>
  <c r="J12" i="44" s="1"/>
  <c r="J15" i="44" s="1"/>
  <c r="J18" i="44" s="1"/>
  <c r="J22" i="44" s="1"/>
  <c r="I9" i="44"/>
  <c r="H9" i="44"/>
  <c r="G9" i="44"/>
  <c r="E9" i="44"/>
  <c r="D9" i="44"/>
  <c r="C9" i="44"/>
  <c r="B9" i="44"/>
  <c r="B27" i="44" s="1"/>
  <c r="K9" i="5"/>
  <c r="C11" i="5" s="1"/>
  <c r="C12" i="5" s="1"/>
  <c r="K9" i="34"/>
  <c r="H11" i="34" s="1"/>
  <c r="H12" i="34" s="1"/>
  <c r="K9" i="10"/>
  <c r="D11" i="10" s="1"/>
  <c r="D12" i="10" s="1"/>
  <c r="K9" i="7"/>
  <c r="B11" i="7" s="1"/>
  <c r="B12" i="7" s="1"/>
  <c r="K9" i="2"/>
  <c r="C11" i="2" s="1"/>
  <c r="C12" i="2" s="1"/>
  <c r="K9" i="14"/>
  <c r="K10" i="43"/>
  <c r="J12" i="32"/>
  <c r="J15" i="32" s="1"/>
  <c r="J18" i="32" s="1"/>
  <c r="J22" i="32" s="1"/>
  <c r="K9" i="12"/>
  <c r="B11" i="12" s="1"/>
  <c r="B12" i="12" s="1"/>
  <c r="J12" i="19"/>
  <c r="J15" i="19" s="1"/>
  <c r="J18" i="19" s="1"/>
  <c r="J22" i="19" s="1"/>
  <c r="K30" i="43"/>
  <c r="E9" i="39"/>
  <c r="J12" i="46"/>
  <c r="J15" i="46" s="1"/>
  <c r="J18" i="46" s="1"/>
  <c r="J22" i="46" s="1"/>
  <c r="K9" i="36"/>
  <c r="G11" i="36" s="1"/>
  <c r="G12" i="36" s="1"/>
  <c r="K9" i="32"/>
  <c r="G11" i="32" s="1"/>
  <c r="G12" i="32" s="1"/>
  <c r="K9" i="17"/>
  <c r="K9" i="9"/>
  <c r="K9" i="4"/>
  <c r="H11" i="4" s="1"/>
  <c r="H12" i="4" s="1"/>
  <c r="K9" i="6"/>
  <c r="K9" i="29"/>
  <c r="D11" i="29" s="1"/>
  <c r="D12" i="29" s="1"/>
  <c r="B27" i="29"/>
  <c r="K9" i="27"/>
  <c r="D11" i="27" s="1"/>
  <c r="D12" i="27" s="1"/>
  <c r="B27" i="27"/>
  <c r="K9" i="25"/>
  <c r="B11" i="25" s="1"/>
  <c r="B12" i="25" s="1"/>
  <c r="B27" i="24"/>
  <c r="K9" i="24"/>
  <c r="B11" i="24" s="1"/>
  <c r="B12" i="24" s="1"/>
  <c r="B27" i="23"/>
  <c r="K9" i="23"/>
  <c r="G11" i="23" s="1"/>
  <c r="G12" i="23" s="1"/>
  <c r="K9" i="20"/>
  <c r="B11" i="20" s="1"/>
  <c r="B12" i="20" s="1"/>
  <c r="K9" i="22"/>
  <c r="B11" i="22" s="1"/>
  <c r="B12" i="22" s="1"/>
  <c r="B27" i="22"/>
  <c r="K9" i="21"/>
  <c r="B11" i="21" s="1"/>
  <c r="B12" i="21" s="1"/>
  <c r="K9" i="19"/>
  <c r="B11" i="19" s="1"/>
  <c r="B12" i="19" s="1"/>
  <c r="B27" i="18"/>
  <c r="K9" i="18"/>
  <c r="K9" i="30"/>
  <c r="C11" i="30" s="1"/>
  <c r="C12" i="30" s="1"/>
  <c r="J11" i="28"/>
  <c r="J12" i="28" s="1"/>
  <c r="J15" i="28" s="1"/>
  <c r="J18" i="28" s="1"/>
  <c r="J22" i="28" s="1"/>
  <c r="K9" i="40"/>
  <c r="J11" i="40"/>
  <c r="J12" i="40" s="1"/>
  <c r="J15" i="40" s="1"/>
  <c r="J18" i="40" s="1"/>
  <c r="J22" i="40" s="1"/>
  <c r="J11" i="14"/>
  <c r="K9" i="41"/>
  <c r="C11" i="41" s="1"/>
  <c r="C12" i="41" s="1"/>
  <c r="B27" i="46"/>
  <c r="K9" i="46"/>
  <c r="J12" i="41"/>
  <c r="J15" i="41" s="1"/>
  <c r="J18" i="41" s="1"/>
  <c r="J22" i="41" s="1"/>
  <c r="K9" i="1"/>
  <c r="B27" i="1"/>
  <c r="K9" i="11"/>
  <c r="K9" i="35"/>
  <c r="J11" i="31"/>
  <c r="J12" i="31" s="1"/>
  <c r="J15" i="31" s="1"/>
  <c r="J18" i="31" s="1"/>
  <c r="J22" i="31" s="1"/>
  <c r="J12" i="1"/>
  <c r="J15" i="1" s="1"/>
  <c r="J18" i="1" s="1"/>
  <c r="J22" i="1" s="1"/>
  <c r="J12" i="36"/>
  <c r="J15" i="36" s="1"/>
  <c r="J18" i="36" s="1"/>
  <c r="J22" i="36" s="1"/>
  <c r="J12" i="35"/>
  <c r="J15" i="35" s="1"/>
  <c r="J18" i="35" s="1"/>
  <c r="J22" i="35" s="1"/>
  <c r="J12" i="34"/>
  <c r="J15" i="34" s="1"/>
  <c r="J18" i="34" s="1"/>
  <c r="J22" i="34" s="1"/>
  <c r="K9" i="31"/>
  <c r="K9" i="15"/>
  <c r="H11" i="15" s="1"/>
  <c r="H12" i="15" s="1"/>
  <c r="K9" i="13"/>
  <c r="K9" i="8"/>
  <c r="K9" i="37"/>
  <c r="D11" i="37" s="1"/>
  <c r="D12" i="37" s="1"/>
  <c r="K43" i="43" l="1"/>
  <c r="C15" i="48"/>
  <c r="I15" i="48"/>
  <c r="I18" i="48" s="1"/>
  <c r="I22" i="48" s="1"/>
  <c r="H14" i="48"/>
  <c r="H15" i="48" s="1"/>
  <c r="H17" i="48" s="1"/>
  <c r="H18" i="48" s="1"/>
  <c r="H22" i="48" s="1"/>
  <c r="D14" i="48"/>
  <c r="D15" i="48" s="1"/>
  <c r="G14" i="48"/>
  <c r="G15" i="48" s="1"/>
  <c r="E14" i="48"/>
  <c r="E15" i="48" s="1"/>
  <c r="B14" i="48"/>
  <c r="B15" i="48" s="1"/>
  <c r="K12" i="48"/>
  <c r="K15" i="49"/>
  <c r="H17" i="49"/>
  <c r="H18" i="49" s="1"/>
  <c r="H22" i="49" s="1"/>
  <c r="E11" i="10"/>
  <c r="E12" i="10" s="1"/>
  <c r="H11" i="7"/>
  <c r="H12" i="7" s="1"/>
  <c r="H11" i="45"/>
  <c r="H12" i="45" s="1"/>
  <c r="H11" i="10"/>
  <c r="H12" i="10" s="1"/>
  <c r="I11" i="5"/>
  <c r="I12" i="5" s="1"/>
  <c r="I14" i="5" s="1"/>
  <c r="C14" i="5" s="1"/>
  <c r="C15" i="5" s="1"/>
  <c r="D11" i="45"/>
  <c r="D12" i="45" s="1"/>
  <c r="G11" i="45"/>
  <c r="G12" i="45" s="1"/>
  <c r="B11" i="45"/>
  <c r="B12" i="45" s="1"/>
  <c r="E11" i="45"/>
  <c r="E12" i="45" s="1"/>
  <c r="G11" i="2"/>
  <c r="G12" i="2" s="1"/>
  <c r="B11" i="2"/>
  <c r="B12" i="2" s="1"/>
  <c r="E11" i="5"/>
  <c r="E12" i="5" s="1"/>
  <c r="B11" i="5"/>
  <c r="B12" i="5" s="1"/>
  <c r="H11" i="5"/>
  <c r="H12" i="5" s="1"/>
  <c r="E11" i="7"/>
  <c r="E12" i="7" s="1"/>
  <c r="D11" i="7"/>
  <c r="D12" i="7" s="1"/>
  <c r="I11" i="7"/>
  <c r="I12" i="7" s="1"/>
  <c r="I14" i="7" s="1"/>
  <c r="C11" i="7"/>
  <c r="C12" i="7" s="1"/>
  <c r="G11" i="7"/>
  <c r="G12" i="7" s="1"/>
  <c r="K9" i="39"/>
  <c r="D11" i="39" s="1"/>
  <c r="D12" i="39" s="1"/>
  <c r="C11" i="34"/>
  <c r="C12" i="34" s="1"/>
  <c r="D11" i="34"/>
  <c r="D12" i="34" s="1"/>
  <c r="E11" i="34"/>
  <c r="E12" i="34" s="1"/>
  <c r="C11" i="45"/>
  <c r="C12" i="45" s="1"/>
  <c r="K9" i="44"/>
  <c r="D11" i="44" s="1"/>
  <c r="D12" i="44" s="1"/>
  <c r="C11" i="12"/>
  <c r="C12" i="12" s="1"/>
  <c r="E11" i="12"/>
  <c r="E12" i="12" s="1"/>
  <c r="G11" i="12"/>
  <c r="G12" i="12" s="1"/>
  <c r="G11" i="5"/>
  <c r="G12" i="5" s="1"/>
  <c r="D11" i="5"/>
  <c r="D12" i="5" s="1"/>
  <c r="G11" i="10"/>
  <c r="G12" i="10" s="1"/>
  <c r="B11" i="10"/>
  <c r="B12" i="10" s="1"/>
  <c r="C11" i="32"/>
  <c r="C12" i="32" s="1"/>
  <c r="B11" i="34"/>
  <c r="B12" i="34" s="1"/>
  <c r="G11" i="34"/>
  <c r="G12" i="34" s="1"/>
  <c r="I11" i="34"/>
  <c r="I12" i="34" s="1"/>
  <c r="I14" i="34" s="1"/>
  <c r="D11" i="12"/>
  <c r="D12" i="12" s="1"/>
  <c r="I11" i="12"/>
  <c r="I12" i="12" s="1"/>
  <c r="I14" i="12" s="1"/>
  <c r="H11" i="25"/>
  <c r="H12" i="25" s="1"/>
  <c r="I11" i="14"/>
  <c r="I12" i="14" s="1"/>
  <c r="I14" i="14" s="1"/>
  <c r="C11" i="10"/>
  <c r="C12" i="10" s="1"/>
  <c r="I11" i="10"/>
  <c r="I12" i="10" s="1"/>
  <c r="I14" i="10" s="1"/>
  <c r="I11" i="2"/>
  <c r="I12" i="2" s="1"/>
  <c r="I14" i="2" s="1"/>
  <c r="B14" i="2" s="1"/>
  <c r="H11" i="2"/>
  <c r="H12" i="2" s="1"/>
  <c r="D11" i="2"/>
  <c r="D12" i="2" s="1"/>
  <c r="E11" i="2"/>
  <c r="E12" i="2" s="1"/>
  <c r="H11" i="22"/>
  <c r="H12" i="22" s="1"/>
  <c r="B11" i="29"/>
  <c r="B12" i="29" s="1"/>
  <c r="H11" i="29"/>
  <c r="H12" i="29" s="1"/>
  <c r="H11" i="12"/>
  <c r="H12" i="12" s="1"/>
  <c r="E11" i="30"/>
  <c r="E12" i="30" s="1"/>
  <c r="D11" i="19"/>
  <c r="D12" i="19" s="1"/>
  <c r="H11" i="20"/>
  <c r="H12" i="20" s="1"/>
  <c r="D11" i="20"/>
  <c r="D12" i="20" s="1"/>
  <c r="D11" i="23"/>
  <c r="D12" i="23" s="1"/>
  <c r="D11" i="24"/>
  <c r="D12" i="24" s="1"/>
  <c r="D11" i="25"/>
  <c r="D12" i="25" s="1"/>
  <c r="E11" i="32"/>
  <c r="E12" i="32" s="1"/>
  <c r="E11" i="36"/>
  <c r="E12" i="36" s="1"/>
  <c r="K9" i="38"/>
  <c r="D11" i="38" s="1"/>
  <c r="D12" i="38" s="1"/>
  <c r="C11" i="36"/>
  <c r="C12" i="36" s="1"/>
  <c r="G11" i="37"/>
  <c r="G12" i="37" s="1"/>
  <c r="C11" i="13"/>
  <c r="C12" i="13" s="1"/>
  <c r="H11" i="13"/>
  <c r="H12" i="13" s="1"/>
  <c r="D11" i="13"/>
  <c r="D12" i="13" s="1"/>
  <c r="E11" i="13"/>
  <c r="E12" i="13" s="1"/>
  <c r="B11" i="13"/>
  <c r="B12" i="13" s="1"/>
  <c r="I11" i="13"/>
  <c r="I12" i="13" s="1"/>
  <c r="E11" i="11"/>
  <c r="E12" i="11" s="1"/>
  <c r="I11" i="11"/>
  <c r="I12" i="11" s="1"/>
  <c r="D11" i="11"/>
  <c r="D12" i="11" s="1"/>
  <c r="H11" i="11"/>
  <c r="H12" i="11" s="1"/>
  <c r="C11" i="11"/>
  <c r="C12" i="11" s="1"/>
  <c r="C11" i="37"/>
  <c r="C12" i="37" s="1"/>
  <c r="E11" i="37"/>
  <c r="E12" i="37" s="1"/>
  <c r="H11" i="37"/>
  <c r="H12" i="37" s="1"/>
  <c r="B11" i="37"/>
  <c r="B12" i="37" s="1"/>
  <c r="I11" i="15"/>
  <c r="I12" i="15" s="1"/>
  <c r="D11" i="15"/>
  <c r="D12" i="15" s="1"/>
  <c r="B11" i="15"/>
  <c r="B12" i="15" s="1"/>
  <c r="E11" i="15"/>
  <c r="E12" i="15" s="1"/>
  <c r="C11" i="15"/>
  <c r="C12" i="15" s="1"/>
  <c r="G11" i="46"/>
  <c r="G12" i="46" s="1"/>
  <c r="H11" i="46"/>
  <c r="H12" i="46" s="1"/>
  <c r="D11" i="46"/>
  <c r="D12" i="46" s="1"/>
  <c r="I11" i="46"/>
  <c r="I12" i="46" s="1"/>
  <c r="E11" i="46"/>
  <c r="E12" i="46" s="1"/>
  <c r="C11" i="46"/>
  <c r="C12" i="46" s="1"/>
  <c r="B11" i="46"/>
  <c r="B12" i="46" s="1"/>
  <c r="B11" i="40"/>
  <c r="B12" i="40" s="1"/>
  <c r="I11" i="40"/>
  <c r="I12" i="40" s="1"/>
  <c r="G11" i="40"/>
  <c r="G12" i="40" s="1"/>
  <c r="D11" i="40"/>
  <c r="D12" i="40" s="1"/>
  <c r="H11" i="40"/>
  <c r="H12" i="40" s="1"/>
  <c r="E11" i="40"/>
  <c r="E12" i="40" s="1"/>
  <c r="C11" i="40"/>
  <c r="C12" i="40" s="1"/>
  <c r="B11" i="28"/>
  <c r="B12" i="28" s="1"/>
  <c r="D11" i="28"/>
  <c r="D12" i="28" s="1"/>
  <c r="I11" i="30"/>
  <c r="I12" i="30" s="1"/>
  <c r="D11" i="30"/>
  <c r="D12" i="30" s="1"/>
  <c r="H11" i="30"/>
  <c r="H12" i="30" s="1"/>
  <c r="B11" i="30"/>
  <c r="B12" i="30" s="1"/>
  <c r="E11" i="18"/>
  <c r="E12" i="18" s="1"/>
  <c r="H11" i="18"/>
  <c r="H12" i="18" s="1"/>
  <c r="B11" i="18"/>
  <c r="B12" i="18" s="1"/>
  <c r="C11" i="18"/>
  <c r="C12" i="18" s="1"/>
  <c r="I11" i="18"/>
  <c r="I12" i="18" s="1"/>
  <c r="D11" i="18"/>
  <c r="D12" i="18" s="1"/>
  <c r="C11" i="21"/>
  <c r="C12" i="21" s="1"/>
  <c r="I11" i="21"/>
  <c r="I12" i="21" s="1"/>
  <c r="E11" i="21"/>
  <c r="E12" i="21" s="1"/>
  <c r="D11" i="21"/>
  <c r="D12" i="21" s="1"/>
  <c r="H11" i="21"/>
  <c r="H12" i="21" s="1"/>
  <c r="I11" i="20"/>
  <c r="I12" i="20" s="1"/>
  <c r="C11" i="20"/>
  <c r="C12" i="20" s="1"/>
  <c r="E11" i="20"/>
  <c r="E12" i="20" s="1"/>
  <c r="E11" i="25"/>
  <c r="E12" i="25" s="1"/>
  <c r="I11" i="25"/>
  <c r="I12" i="25" s="1"/>
  <c r="C11" i="25"/>
  <c r="C12" i="25" s="1"/>
  <c r="C11" i="29"/>
  <c r="C12" i="29" s="1"/>
  <c r="I11" i="29"/>
  <c r="I12" i="29" s="1"/>
  <c r="E11" i="29"/>
  <c r="E12" i="29" s="1"/>
  <c r="B11" i="6"/>
  <c r="B12" i="6" s="1"/>
  <c r="C11" i="6"/>
  <c r="C12" i="6" s="1"/>
  <c r="G11" i="6"/>
  <c r="G12" i="6" s="1"/>
  <c r="I11" i="6"/>
  <c r="I12" i="6" s="1"/>
  <c r="D11" i="6"/>
  <c r="D12" i="6" s="1"/>
  <c r="H11" i="6"/>
  <c r="H12" i="6" s="1"/>
  <c r="E11" i="6"/>
  <c r="E12" i="6" s="1"/>
  <c r="H11" i="17"/>
  <c r="H12" i="17" s="1"/>
  <c r="E11" i="17"/>
  <c r="E12" i="17" s="1"/>
  <c r="C11" i="17"/>
  <c r="C12" i="17" s="1"/>
  <c r="B11" i="17"/>
  <c r="B12" i="17" s="1"/>
  <c r="I11" i="17"/>
  <c r="I12" i="17" s="1"/>
  <c r="D11" i="17"/>
  <c r="D12" i="17" s="1"/>
  <c r="G11" i="17"/>
  <c r="G12" i="17" s="1"/>
  <c r="B11" i="36"/>
  <c r="B12" i="36" s="1"/>
  <c r="I11" i="36"/>
  <c r="I12" i="36" s="1"/>
  <c r="H11" i="36"/>
  <c r="H12" i="36" s="1"/>
  <c r="D11" i="36"/>
  <c r="D12" i="36" s="1"/>
  <c r="I14" i="45"/>
  <c r="I15" i="45" s="1"/>
  <c r="I18" i="45" s="1"/>
  <c r="I22" i="45" s="1"/>
  <c r="C11" i="35"/>
  <c r="C12" i="35" s="1"/>
  <c r="B11" i="11"/>
  <c r="B12" i="11" s="1"/>
  <c r="I11" i="37"/>
  <c r="I12" i="37" s="1"/>
  <c r="E11" i="41"/>
  <c r="E12" i="41" s="1"/>
  <c r="H11" i="23"/>
  <c r="H12" i="23" s="1"/>
  <c r="H11" i="24"/>
  <c r="H12" i="24" s="1"/>
  <c r="J12" i="14"/>
  <c r="J15" i="14" s="1"/>
  <c r="J18" i="14" s="1"/>
  <c r="J22" i="14" s="1"/>
  <c r="E11" i="28"/>
  <c r="E12" i="28" s="1"/>
  <c r="C11" i="28"/>
  <c r="C12" i="28" s="1"/>
  <c r="D11" i="22"/>
  <c r="D12" i="22" s="1"/>
  <c r="B11" i="27"/>
  <c r="B12" i="27" s="1"/>
  <c r="H11" i="28"/>
  <c r="H12" i="28" s="1"/>
  <c r="H11" i="14"/>
  <c r="H12" i="14" s="1"/>
  <c r="G11" i="15"/>
  <c r="G12" i="15" s="1"/>
  <c r="G11" i="11"/>
  <c r="G12" i="11" s="1"/>
  <c r="G11" i="18"/>
  <c r="G12" i="18" s="1"/>
  <c r="G11" i="21"/>
  <c r="G12" i="21" s="1"/>
  <c r="G11" i="25"/>
  <c r="G12" i="25" s="1"/>
  <c r="G11" i="29"/>
  <c r="G12" i="29" s="1"/>
  <c r="E11" i="8"/>
  <c r="E12" i="8" s="1"/>
  <c r="C11" i="8"/>
  <c r="C12" i="8" s="1"/>
  <c r="H11" i="8"/>
  <c r="H12" i="8" s="1"/>
  <c r="D11" i="8"/>
  <c r="D12" i="8" s="1"/>
  <c r="I11" i="8"/>
  <c r="I12" i="8" s="1"/>
  <c r="G11" i="8"/>
  <c r="G12" i="8" s="1"/>
  <c r="B11" i="8"/>
  <c r="B12" i="8" s="1"/>
  <c r="D11" i="31"/>
  <c r="D12" i="31" s="1"/>
  <c r="E11" i="31"/>
  <c r="E12" i="31" s="1"/>
  <c r="C11" i="31"/>
  <c r="C12" i="31" s="1"/>
  <c r="G11" i="31"/>
  <c r="G12" i="31" s="1"/>
  <c r="I11" i="31"/>
  <c r="I12" i="31" s="1"/>
  <c r="B11" i="31"/>
  <c r="B12" i="31" s="1"/>
  <c r="H11" i="31"/>
  <c r="H12" i="31" s="1"/>
  <c r="B11" i="35"/>
  <c r="B12" i="35" s="1"/>
  <c r="D11" i="35"/>
  <c r="D12" i="35" s="1"/>
  <c r="H11" i="35"/>
  <c r="H12" i="35" s="1"/>
  <c r="I11" i="35"/>
  <c r="I12" i="35" s="1"/>
  <c r="E11" i="35"/>
  <c r="E12" i="35" s="1"/>
  <c r="G11" i="1"/>
  <c r="G12" i="1" s="1"/>
  <c r="I11" i="1"/>
  <c r="I12" i="1" s="1"/>
  <c r="C11" i="1"/>
  <c r="C12" i="1" s="1"/>
  <c r="D11" i="1"/>
  <c r="D12" i="1" s="1"/>
  <c r="H11" i="1"/>
  <c r="H12" i="1" s="1"/>
  <c r="B11" i="1"/>
  <c r="B12" i="1" s="1"/>
  <c r="E11" i="1"/>
  <c r="E12" i="1" s="1"/>
  <c r="B11" i="41"/>
  <c r="B12" i="41" s="1"/>
  <c r="H11" i="41"/>
  <c r="H12" i="41" s="1"/>
  <c r="D11" i="41"/>
  <c r="D12" i="41" s="1"/>
  <c r="I11" i="41"/>
  <c r="I12" i="41" s="1"/>
  <c r="G11" i="41"/>
  <c r="G12" i="41" s="1"/>
  <c r="C11" i="14"/>
  <c r="C12" i="14" s="1"/>
  <c r="E11" i="14"/>
  <c r="E12" i="14" s="1"/>
  <c r="I11" i="19"/>
  <c r="I12" i="19" s="1"/>
  <c r="H11" i="19"/>
  <c r="H12" i="19" s="1"/>
  <c r="E11" i="19"/>
  <c r="E12" i="19" s="1"/>
  <c r="C11" i="19"/>
  <c r="C12" i="19" s="1"/>
  <c r="I11" i="22"/>
  <c r="I12" i="22" s="1"/>
  <c r="E11" i="22"/>
  <c r="E12" i="22" s="1"/>
  <c r="C11" i="22"/>
  <c r="C12" i="22" s="1"/>
  <c r="E11" i="23"/>
  <c r="E12" i="23" s="1"/>
  <c r="C11" i="23"/>
  <c r="C12" i="23" s="1"/>
  <c r="B11" i="23"/>
  <c r="B12" i="23" s="1"/>
  <c r="I11" i="23"/>
  <c r="I12" i="23" s="1"/>
  <c r="I11" i="24"/>
  <c r="I12" i="24" s="1"/>
  <c r="E11" i="24"/>
  <c r="E12" i="24" s="1"/>
  <c r="C11" i="24"/>
  <c r="C12" i="24" s="1"/>
  <c r="G11" i="24"/>
  <c r="G12" i="24" s="1"/>
  <c r="I11" i="27"/>
  <c r="I12" i="27" s="1"/>
  <c r="G11" i="27"/>
  <c r="G12" i="27" s="1"/>
  <c r="E11" i="27"/>
  <c r="E12" i="27" s="1"/>
  <c r="H11" i="27"/>
  <c r="H12" i="27" s="1"/>
  <c r="C11" i="27"/>
  <c r="C12" i="27" s="1"/>
  <c r="I11" i="4"/>
  <c r="I12" i="4" s="1"/>
  <c r="C11" i="4"/>
  <c r="C12" i="4" s="1"/>
  <c r="E11" i="4"/>
  <c r="E12" i="4" s="1"/>
  <c r="B11" i="4"/>
  <c r="B12" i="4" s="1"/>
  <c r="G11" i="4"/>
  <c r="G12" i="4" s="1"/>
  <c r="D11" i="4"/>
  <c r="D12" i="4" s="1"/>
  <c r="B11" i="9"/>
  <c r="B12" i="9" s="1"/>
  <c r="E11" i="9"/>
  <c r="E12" i="9" s="1"/>
  <c r="I11" i="9"/>
  <c r="I12" i="9" s="1"/>
  <c r="G11" i="9"/>
  <c r="G12" i="9" s="1"/>
  <c r="D11" i="9"/>
  <c r="D12" i="9" s="1"/>
  <c r="C11" i="9"/>
  <c r="C12" i="9" s="1"/>
  <c r="H11" i="9"/>
  <c r="H12" i="9" s="1"/>
  <c r="D11" i="32"/>
  <c r="D12" i="32" s="1"/>
  <c r="H11" i="32"/>
  <c r="H12" i="32" s="1"/>
  <c r="B11" i="32"/>
  <c r="B12" i="32" s="1"/>
  <c r="I11" i="32"/>
  <c r="I12" i="32" s="1"/>
  <c r="I11" i="28"/>
  <c r="I12" i="28" s="1"/>
  <c r="D11" i="14"/>
  <c r="D12" i="14" s="1"/>
  <c r="B11" i="14"/>
  <c r="B12" i="14" s="1"/>
  <c r="G11" i="13"/>
  <c r="G12" i="13" s="1"/>
  <c r="G11" i="22"/>
  <c r="G12" i="22" s="1"/>
  <c r="G11" i="30"/>
  <c r="G12" i="30" s="1"/>
  <c r="G11" i="19"/>
  <c r="G12" i="19" s="1"/>
  <c r="G11" i="20"/>
  <c r="G12" i="20" s="1"/>
  <c r="G11" i="35"/>
  <c r="G12" i="35" s="1"/>
  <c r="G11" i="14"/>
  <c r="G12" i="14" s="1"/>
  <c r="G11" i="28"/>
  <c r="G12" i="28" s="1"/>
  <c r="K15" i="48" l="1"/>
  <c r="C17" i="49"/>
  <c r="C18" i="49" s="1"/>
  <c r="D17" i="49"/>
  <c r="D18" i="49" s="1"/>
  <c r="G17" i="49"/>
  <c r="G18" i="49" s="1"/>
  <c r="G20" i="49" s="1"/>
  <c r="E17" i="49"/>
  <c r="E18" i="49" s="1"/>
  <c r="B17" i="49"/>
  <c r="B18" i="49" s="1"/>
  <c r="G14" i="5"/>
  <c r="G15" i="5" s="1"/>
  <c r="B15" i="2"/>
  <c r="H14" i="5"/>
  <c r="H15" i="5" s="1"/>
  <c r="H17" i="5" s="1"/>
  <c r="D17" i="5" s="1"/>
  <c r="E14" i="5"/>
  <c r="E15" i="5" s="1"/>
  <c r="I15" i="5"/>
  <c r="I18" i="5" s="1"/>
  <c r="I22" i="5" s="1"/>
  <c r="B14" i="5"/>
  <c r="B15" i="5" s="1"/>
  <c r="K12" i="45"/>
  <c r="G11" i="44"/>
  <c r="G12" i="44" s="1"/>
  <c r="E17" i="48"/>
  <c r="E18" i="48" s="1"/>
  <c r="C17" i="48"/>
  <c r="C18" i="48" s="1"/>
  <c r="B17" i="48"/>
  <c r="B18" i="48" s="1"/>
  <c r="D17" i="48"/>
  <c r="D18" i="48" s="1"/>
  <c r="G17" i="48"/>
  <c r="G18" i="48" s="1"/>
  <c r="G20" i="48" s="1"/>
  <c r="D14" i="5"/>
  <c r="D15" i="5" s="1"/>
  <c r="H14" i="2"/>
  <c r="H15" i="2" s="1"/>
  <c r="H17" i="2" s="1"/>
  <c r="H18" i="2" s="1"/>
  <c r="H22" i="2" s="1"/>
  <c r="G14" i="2"/>
  <c r="G15" i="2" s="1"/>
  <c r="K12" i="5"/>
  <c r="K12" i="7"/>
  <c r="K12" i="10"/>
  <c r="G11" i="39"/>
  <c r="G12" i="39" s="1"/>
  <c r="E11" i="39"/>
  <c r="E12" i="39" s="1"/>
  <c r="C11" i="39"/>
  <c r="C12" i="39" s="1"/>
  <c r="I11" i="39"/>
  <c r="I12" i="39" s="1"/>
  <c r="I14" i="39" s="1"/>
  <c r="I15" i="39" s="1"/>
  <c r="I18" i="39" s="1"/>
  <c r="I22" i="39" s="1"/>
  <c r="B11" i="39"/>
  <c r="B12" i="39" s="1"/>
  <c r="H11" i="39"/>
  <c r="H12" i="39" s="1"/>
  <c r="C11" i="44"/>
  <c r="C12" i="44" s="1"/>
  <c r="H11" i="44"/>
  <c r="H12" i="44" s="1"/>
  <c r="B11" i="44"/>
  <c r="B12" i="44" s="1"/>
  <c r="I11" i="44"/>
  <c r="I12" i="44" s="1"/>
  <c r="I14" i="44" s="1"/>
  <c r="I15" i="44" s="1"/>
  <c r="I18" i="44" s="1"/>
  <c r="I22" i="44" s="1"/>
  <c r="E11" i="44"/>
  <c r="E12" i="44" s="1"/>
  <c r="K12" i="12"/>
  <c r="K12" i="34"/>
  <c r="D14" i="2"/>
  <c r="D15" i="2" s="1"/>
  <c r="I15" i="2"/>
  <c r="I18" i="2" s="1"/>
  <c r="I22" i="2" s="1"/>
  <c r="C14" i="2"/>
  <c r="C15" i="2" s="1"/>
  <c r="E14" i="2"/>
  <c r="E15" i="2" s="1"/>
  <c r="K12" i="2"/>
  <c r="K12" i="24"/>
  <c r="K12" i="19"/>
  <c r="K12" i="20"/>
  <c r="C11" i="38"/>
  <c r="C12" i="38" s="1"/>
  <c r="B11" i="38"/>
  <c r="B12" i="38" s="1"/>
  <c r="G11" i="38"/>
  <c r="G12" i="38" s="1"/>
  <c r="H11" i="38"/>
  <c r="H12" i="38" s="1"/>
  <c r="I11" i="38"/>
  <c r="I12" i="38" s="1"/>
  <c r="I14" i="38" s="1"/>
  <c r="C14" i="38" s="1"/>
  <c r="E11" i="38"/>
  <c r="E12" i="38" s="1"/>
  <c r="B14" i="12"/>
  <c r="B15" i="12" s="1"/>
  <c r="C14" i="12"/>
  <c r="C15" i="12" s="1"/>
  <c r="D14" i="12"/>
  <c r="D15" i="12" s="1"/>
  <c r="E14" i="12"/>
  <c r="E15" i="12" s="1"/>
  <c r="H14" i="12"/>
  <c r="H15" i="12" s="1"/>
  <c r="G14" i="12"/>
  <c r="G15" i="12" s="1"/>
  <c r="I14" i="32"/>
  <c r="I15" i="32" s="1"/>
  <c r="I18" i="32" s="1"/>
  <c r="I22" i="32" s="1"/>
  <c r="K12" i="32"/>
  <c r="K12" i="9"/>
  <c r="I14" i="4"/>
  <c r="I15" i="4" s="1"/>
  <c r="I18" i="4" s="1"/>
  <c r="I22" i="4" s="1"/>
  <c r="G14" i="7"/>
  <c r="G15" i="7" s="1"/>
  <c r="H14" i="7"/>
  <c r="H15" i="7" s="1"/>
  <c r="C14" i="7"/>
  <c r="C15" i="7" s="1"/>
  <c r="D14" i="7"/>
  <c r="D15" i="7" s="1"/>
  <c r="E14" i="7"/>
  <c r="E15" i="7" s="1"/>
  <c r="B14" i="7"/>
  <c r="B15" i="7" s="1"/>
  <c r="I14" i="27"/>
  <c r="I15" i="27" s="1"/>
  <c r="I18" i="27" s="1"/>
  <c r="I22" i="27" s="1"/>
  <c r="K12" i="23"/>
  <c r="I14" i="19"/>
  <c r="I15" i="19" s="1"/>
  <c r="I18" i="19" s="1"/>
  <c r="I22" i="19" s="1"/>
  <c r="K12" i="41"/>
  <c r="I14" i="35"/>
  <c r="I15" i="35" s="1"/>
  <c r="I18" i="35" s="1"/>
  <c r="I22" i="35" s="1"/>
  <c r="K12" i="31"/>
  <c r="K12" i="27"/>
  <c r="I14" i="37"/>
  <c r="I15" i="37" s="1"/>
  <c r="I18" i="37" s="1"/>
  <c r="I22" i="37" s="1"/>
  <c r="D14" i="10"/>
  <c r="D15" i="10" s="1"/>
  <c r="B14" i="10"/>
  <c r="B15" i="10" s="1"/>
  <c r="G14" i="10"/>
  <c r="G15" i="10" s="1"/>
  <c r="H14" i="10"/>
  <c r="H15" i="10" s="1"/>
  <c r="E14" i="10"/>
  <c r="E15" i="10" s="1"/>
  <c r="C14" i="10"/>
  <c r="C15" i="10" s="1"/>
  <c r="K12" i="36"/>
  <c r="I14" i="17"/>
  <c r="I15" i="17" s="1"/>
  <c r="I18" i="17" s="1"/>
  <c r="I22" i="17" s="1"/>
  <c r="K12" i="6"/>
  <c r="I14" i="25"/>
  <c r="I15" i="25" s="1"/>
  <c r="I18" i="25" s="1"/>
  <c r="I22" i="25" s="1"/>
  <c r="I14" i="20"/>
  <c r="I15" i="20" s="1"/>
  <c r="I18" i="20" s="1"/>
  <c r="I22" i="20" s="1"/>
  <c r="I14" i="21"/>
  <c r="I15" i="21" s="1"/>
  <c r="I18" i="21" s="1"/>
  <c r="I22" i="21" s="1"/>
  <c r="I14" i="18"/>
  <c r="I15" i="18" s="1"/>
  <c r="I18" i="18" s="1"/>
  <c r="I22" i="18" s="1"/>
  <c r="K12" i="18"/>
  <c r="K12" i="30"/>
  <c r="I14" i="30"/>
  <c r="I15" i="30" s="1"/>
  <c r="I18" i="30" s="1"/>
  <c r="I22" i="30" s="1"/>
  <c r="K12" i="28"/>
  <c r="K12" i="40"/>
  <c r="K12" i="46"/>
  <c r="K12" i="15"/>
  <c r="I14" i="15"/>
  <c r="I15" i="15" s="1"/>
  <c r="I18" i="15" s="1"/>
  <c r="I22" i="15" s="1"/>
  <c r="K12" i="37"/>
  <c r="I14" i="11"/>
  <c r="I15" i="11" s="1"/>
  <c r="I18" i="11" s="1"/>
  <c r="I22" i="11" s="1"/>
  <c r="K12" i="13"/>
  <c r="D14" i="14"/>
  <c r="D15" i="14" s="1"/>
  <c r="B14" i="14"/>
  <c r="B15" i="14" s="1"/>
  <c r="E14" i="14"/>
  <c r="E15" i="14" s="1"/>
  <c r="G14" i="14"/>
  <c r="G15" i="14" s="1"/>
  <c r="H14" i="14"/>
  <c r="H15" i="14" s="1"/>
  <c r="C14" i="14"/>
  <c r="C15" i="14" s="1"/>
  <c r="K12" i="29"/>
  <c r="G14" i="34"/>
  <c r="G15" i="34" s="1"/>
  <c r="E14" i="34"/>
  <c r="E15" i="34" s="1"/>
  <c r="C14" i="34"/>
  <c r="C15" i="34" s="1"/>
  <c r="H14" i="34"/>
  <c r="H15" i="34" s="1"/>
  <c r="B14" i="34"/>
  <c r="B15" i="34" s="1"/>
  <c r="D14" i="34"/>
  <c r="D15" i="34" s="1"/>
  <c r="I14" i="9"/>
  <c r="I15" i="9" s="1"/>
  <c r="I18" i="9" s="1"/>
  <c r="I22" i="9" s="1"/>
  <c r="K12" i="14"/>
  <c r="I14" i="28"/>
  <c r="I15" i="28" s="1"/>
  <c r="I18" i="28" s="1"/>
  <c r="I22" i="28" s="1"/>
  <c r="K12" i="4"/>
  <c r="I14" i="24"/>
  <c r="I15" i="24" s="1"/>
  <c r="I18" i="24" s="1"/>
  <c r="I22" i="24" s="1"/>
  <c r="I14" i="23"/>
  <c r="I15" i="23" s="1"/>
  <c r="I18" i="23" s="1"/>
  <c r="I22" i="23" s="1"/>
  <c r="I14" i="22"/>
  <c r="I15" i="22" s="1"/>
  <c r="I18" i="22" s="1"/>
  <c r="I22" i="22" s="1"/>
  <c r="I14" i="41"/>
  <c r="I15" i="41" s="1"/>
  <c r="I18" i="41" s="1"/>
  <c r="I22" i="41" s="1"/>
  <c r="K12" i="1"/>
  <c r="I14" i="1"/>
  <c r="I15" i="1" s="1"/>
  <c r="I18" i="1" s="1"/>
  <c r="I22" i="1" s="1"/>
  <c r="K12" i="35"/>
  <c r="I14" i="31"/>
  <c r="I15" i="31" s="1"/>
  <c r="I18" i="31" s="1"/>
  <c r="I22" i="31" s="1"/>
  <c r="K12" i="8"/>
  <c r="I14" i="8"/>
  <c r="I15" i="8" s="1"/>
  <c r="I18" i="8" s="1"/>
  <c r="I22" i="8" s="1"/>
  <c r="K12" i="11"/>
  <c r="D14" i="45"/>
  <c r="D15" i="45" s="1"/>
  <c r="H14" i="45"/>
  <c r="H15" i="45" s="1"/>
  <c r="G14" i="45"/>
  <c r="G15" i="45" s="1"/>
  <c r="B14" i="45"/>
  <c r="B15" i="45" s="1"/>
  <c r="C14" i="45"/>
  <c r="C15" i="45" s="1"/>
  <c r="E14" i="45"/>
  <c r="E15" i="45" s="1"/>
  <c r="I14" i="36"/>
  <c r="I15" i="36" s="1"/>
  <c r="I18" i="36" s="1"/>
  <c r="I22" i="36" s="1"/>
  <c r="K12" i="17"/>
  <c r="I14" i="6"/>
  <c r="I15" i="6" s="1"/>
  <c r="I18" i="6" s="1"/>
  <c r="I22" i="6" s="1"/>
  <c r="I14" i="29"/>
  <c r="I15" i="29" s="1"/>
  <c r="I18" i="29" s="1"/>
  <c r="I22" i="29" s="1"/>
  <c r="I14" i="40"/>
  <c r="I15" i="40" s="1"/>
  <c r="I18" i="40" s="1"/>
  <c r="I22" i="40" s="1"/>
  <c r="I14" i="46"/>
  <c r="I15" i="46" s="1"/>
  <c r="I18" i="46" s="1"/>
  <c r="I22" i="46" s="1"/>
  <c r="I14" i="13"/>
  <c r="I15" i="13" s="1"/>
  <c r="I18" i="13" s="1"/>
  <c r="I22" i="13" s="1"/>
  <c r="I15" i="12"/>
  <c r="I18" i="12" s="1"/>
  <c r="I22" i="12" s="1"/>
  <c r="I15" i="34"/>
  <c r="I18" i="34" s="1"/>
  <c r="I22" i="34" s="1"/>
  <c r="I15" i="7"/>
  <c r="I18" i="7" s="1"/>
  <c r="I22" i="7" s="1"/>
  <c r="I15" i="10"/>
  <c r="I18" i="10" s="1"/>
  <c r="I22" i="10" s="1"/>
  <c r="I15" i="14"/>
  <c r="I18" i="14" s="1"/>
  <c r="I22" i="14" s="1"/>
  <c r="K12" i="25"/>
  <c r="K12" i="22"/>
  <c r="K12" i="21"/>
  <c r="K18" i="49" l="1"/>
  <c r="G22" i="49"/>
  <c r="B20" i="49"/>
  <c r="C20" i="49"/>
  <c r="C22" i="49" s="1"/>
  <c r="D20" i="49"/>
  <c r="D22" i="49" s="1"/>
  <c r="E20" i="49"/>
  <c r="E22" i="49" s="1"/>
  <c r="G22" i="48"/>
  <c r="D20" i="48"/>
  <c r="D22" i="48" s="1"/>
  <c r="B20" i="48"/>
  <c r="C20" i="48"/>
  <c r="C22" i="48" s="1"/>
  <c r="E20" i="48"/>
  <c r="E22" i="48" s="1"/>
  <c r="K18" i="48"/>
  <c r="D18" i="5"/>
  <c r="K12" i="44"/>
  <c r="K15" i="2"/>
  <c r="B17" i="5"/>
  <c r="B18" i="5" s="1"/>
  <c r="H18" i="5"/>
  <c r="H22" i="5" s="1"/>
  <c r="E17" i="5"/>
  <c r="E18" i="5" s="1"/>
  <c r="C17" i="5"/>
  <c r="C18" i="5" s="1"/>
  <c r="G17" i="5"/>
  <c r="G18" i="5" s="1"/>
  <c r="G20" i="5" s="1"/>
  <c r="B20" i="5" s="1"/>
  <c r="K15" i="5"/>
  <c r="K12" i="39"/>
  <c r="B17" i="2"/>
  <c r="B18" i="2" s="1"/>
  <c r="E17" i="2"/>
  <c r="E18" i="2" s="1"/>
  <c r="D17" i="2"/>
  <c r="D18" i="2" s="1"/>
  <c r="C15" i="38"/>
  <c r="C17" i="2"/>
  <c r="C18" i="2" s="1"/>
  <c r="G17" i="2"/>
  <c r="G18" i="2" s="1"/>
  <c r="G20" i="2" s="1"/>
  <c r="D20" i="2" s="1"/>
  <c r="I15" i="38"/>
  <c r="I18" i="38" s="1"/>
  <c r="I22" i="38" s="1"/>
  <c r="D14" i="38"/>
  <c r="D15" i="38" s="1"/>
  <c r="G14" i="38"/>
  <c r="G15" i="38" s="1"/>
  <c r="B14" i="38"/>
  <c r="B15" i="38" s="1"/>
  <c r="K12" i="38"/>
  <c r="E14" i="38"/>
  <c r="E15" i="38" s="1"/>
  <c r="H14" i="38"/>
  <c r="H15" i="38" s="1"/>
  <c r="H17" i="38" s="1"/>
  <c r="H18" i="38" s="1"/>
  <c r="H22" i="38" s="1"/>
  <c r="H17" i="14"/>
  <c r="H18" i="14" s="1"/>
  <c r="H22" i="14" s="1"/>
  <c r="H17" i="45"/>
  <c r="H18" i="45" s="1"/>
  <c r="H22" i="45" s="1"/>
  <c r="E14" i="13"/>
  <c r="E15" i="13" s="1"/>
  <c r="H14" i="13"/>
  <c r="H15" i="13" s="1"/>
  <c r="B14" i="13"/>
  <c r="B15" i="13" s="1"/>
  <c r="C14" i="13"/>
  <c r="C15" i="13" s="1"/>
  <c r="G14" i="13"/>
  <c r="G15" i="13" s="1"/>
  <c r="D14" i="13"/>
  <c r="D15" i="13" s="1"/>
  <c r="D14" i="46"/>
  <c r="D15" i="46" s="1"/>
  <c r="C14" i="46"/>
  <c r="C15" i="46" s="1"/>
  <c r="H14" i="46"/>
  <c r="H15" i="46" s="1"/>
  <c r="B14" i="46"/>
  <c r="B15" i="46" s="1"/>
  <c r="G14" i="46"/>
  <c r="G15" i="46" s="1"/>
  <c r="E14" i="46"/>
  <c r="E15" i="46" s="1"/>
  <c r="B14" i="40"/>
  <c r="B15" i="40" s="1"/>
  <c r="D14" i="40"/>
  <c r="D15" i="40" s="1"/>
  <c r="G14" i="40"/>
  <c r="G15" i="40" s="1"/>
  <c r="C14" i="40"/>
  <c r="C15" i="40" s="1"/>
  <c r="E14" i="40"/>
  <c r="E15" i="40" s="1"/>
  <c r="H14" i="40"/>
  <c r="H15" i="40" s="1"/>
  <c r="B14" i="29"/>
  <c r="B15" i="29" s="1"/>
  <c r="D14" i="29"/>
  <c r="D15" i="29" s="1"/>
  <c r="H14" i="29"/>
  <c r="H15" i="29" s="1"/>
  <c r="C14" i="29"/>
  <c r="C15" i="29" s="1"/>
  <c r="G14" i="29"/>
  <c r="G15" i="29" s="1"/>
  <c r="E14" i="29"/>
  <c r="E15" i="29" s="1"/>
  <c r="D14" i="6"/>
  <c r="D15" i="6" s="1"/>
  <c r="E14" i="6"/>
  <c r="E15" i="6" s="1"/>
  <c r="G14" i="6"/>
  <c r="G15" i="6" s="1"/>
  <c r="B14" i="6"/>
  <c r="B15" i="6" s="1"/>
  <c r="C14" i="6"/>
  <c r="C15" i="6" s="1"/>
  <c r="H14" i="6"/>
  <c r="H15" i="6" s="1"/>
  <c r="H14" i="8"/>
  <c r="H15" i="8" s="1"/>
  <c r="B14" i="8"/>
  <c r="B15" i="8" s="1"/>
  <c r="C14" i="8"/>
  <c r="C15" i="8" s="1"/>
  <c r="D14" i="8"/>
  <c r="D15" i="8" s="1"/>
  <c r="E14" i="8"/>
  <c r="E15" i="8" s="1"/>
  <c r="G14" i="8"/>
  <c r="G15" i="8" s="1"/>
  <c r="G14" i="41"/>
  <c r="G15" i="41" s="1"/>
  <c r="B14" i="41"/>
  <c r="B15" i="41" s="1"/>
  <c r="D14" i="41"/>
  <c r="D15" i="41" s="1"/>
  <c r="H14" i="41"/>
  <c r="H15" i="41" s="1"/>
  <c r="C14" i="41"/>
  <c r="C15" i="41" s="1"/>
  <c r="E14" i="41"/>
  <c r="E15" i="41" s="1"/>
  <c r="B14" i="24"/>
  <c r="B15" i="24" s="1"/>
  <c r="C14" i="24"/>
  <c r="C15" i="24" s="1"/>
  <c r="D14" i="24"/>
  <c r="D15" i="24" s="1"/>
  <c r="E14" i="24"/>
  <c r="E15" i="24" s="1"/>
  <c r="G14" i="24"/>
  <c r="G15" i="24" s="1"/>
  <c r="H14" i="24"/>
  <c r="H15" i="24" s="1"/>
  <c r="H17" i="34"/>
  <c r="H18" i="34" s="1"/>
  <c r="H22" i="34" s="1"/>
  <c r="E14" i="11"/>
  <c r="E15" i="11" s="1"/>
  <c r="H14" i="11"/>
  <c r="H15" i="11" s="1"/>
  <c r="C14" i="11"/>
  <c r="C15" i="11" s="1"/>
  <c r="D14" i="11"/>
  <c r="D15" i="11" s="1"/>
  <c r="B14" i="11"/>
  <c r="B15" i="11" s="1"/>
  <c r="G14" i="11"/>
  <c r="G15" i="11" s="1"/>
  <c r="C14" i="15"/>
  <c r="C15" i="15" s="1"/>
  <c r="E14" i="15"/>
  <c r="E15" i="15" s="1"/>
  <c r="B14" i="15"/>
  <c r="B15" i="15" s="1"/>
  <c r="H14" i="15"/>
  <c r="H15" i="15" s="1"/>
  <c r="D14" i="15"/>
  <c r="D15" i="15" s="1"/>
  <c r="G14" i="15"/>
  <c r="G15" i="15" s="1"/>
  <c r="B14" i="39"/>
  <c r="B15" i="39" s="1"/>
  <c r="D14" i="39"/>
  <c r="D15" i="39" s="1"/>
  <c r="G14" i="39"/>
  <c r="G15" i="39" s="1"/>
  <c r="C14" i="39"/>
  <c r="C15" i="39" s="1"/>
  <c r="E14" i="39"/>
  <c r="E15" i="39" s="1"/>
  <c r="H14" i="39"/>
  <c r="H15" i="39" s="1"/>
  <c r="G14" i="20"/>
  <c r="G15" i="20" s="1"/>
  <c r="D14" i="20"/>
  <c r="D15" i="20" s="1"/>
  <c r="B14" i="20"/>
  <c r="B15" i="20" s="1"/>
  <c r="E14" i="20"/>
  <c r="E15" i="20" s="1"/>
  <c r="C14" i="20"/>
  <c r="C15" i="20" s="1"/>
  <c r="H14" i="20"/>
  <c r="H15" i="20" s="1"/>
  <c r="E14" i="25"/>
  <c r="E15" i="25" s="1"/>
  <c r="C14" i="25"/>
  <c r="C15" i="25" s="1"/>
  <c r="H14" i="25"/>
  <c r="H15" i="25" s="1"/>
  <c r="D14" i="25"/>
  <c r="D15" i="25" s="1"/>
  <c r="B14" i="25"/>
  <c r="B15" i="25" s="1"/>
  <c r="G14" i="25"/>
  <c r="G15" i="25" s="1"/>
  <c r="E14" i="44"/>
  <c r="E15" i="44" s="1"/>
  <c r="C14" i="44"/>
  <c r="C15" i="44" s="1"/>
  <c r="B14" i="44"/>
  <c r="B15" i="44" s="1"/>
  <c r="G14" i="44"/>
  <c r="G15" i="44" s="1"/>
  <c r="D14" i="44"/>
  <c r="D15" i="44" s="1"/>
  <c r="H14" i="44"/>
  <c r="H15" i="44" s="1"/>
  <c r="D14" i="17"/>
  <c r="D15" i="17" s="1"/>
  <c r="B14" i="17"/>
  <c r="B15" i="17" s="1"/>
  <c r="H14" i="17"/>
  <c r="H15" i="17" s="1"/>
  <c r="E14" i="17"/>
  <c r="E15" i="17" s="1"/>
  <c r="G14" i="17"/>
  <c r="G15" i="17" s="1"/>
  <c r="C14" i="17"/>
  <c r="C15" i="17" s="1"/>
  <c r="D14" i="35"/>
  <c r="D15" i="35" s="1"/>
  <c r="E14" i="35"/>
  <c r="E15" i="35" s="1"/>
  <c r="B14" i="35"/>
  <c r="B15" i="35" s="1"/>
  <c r="H14" i="35"/>
  <c r="H15" i="35" s="1"/>
  <c r="C14" i="35"/>
  <c r="C15" i="35" s="1"/>
  <c r="G14" i="35"/>
  <c r="G15" i="35" s="1"/>
  <c r="D14" i="27"/>
  <c r="D15" i="27" s="1"/>
  <c r="H14" i="27"/>
  <c r="H15" i="27" s="1"/>
  <c r="G14" i="27"/>
  <c r="G15" i="27" s="1"/>
  <c r="B14" i="27"/>
  <c r="B15" i="27" s="1"/>
  <c r="C14" i="27"/>
  <c r="C15" i="27" s="1"/>
  <c r="E14" i="27"/>
  <c r="E15" i="27" s="1"/>
  <c r="G14" i="4"/>
  <c r="G15" i="4" s="1"/>
  <c r="D14" i="4"/>
  <c r="D15" i="4" s="1"/>
  <c r="C14" i="4"/>
  <c r="C15" i="4" s="1"/>
  <c r="E14" i="4"/>
  <c r="E15" i="4" s="1"/>
  <c r="B14" i="4"/>
  <c r="B15" i="4" s="1"/>
  <c r="H14" i="4"/>
  <c r="H15" i="4" s="1"/>
  <c r="G14" i="32"/>
  <c r="G15" i="32" s="1"/>
  <c r="E14" i="32"/>
  <c r="E15" i="32" s="1"/>
  <c r="B14" i="32"/>
  <c r="B15" i="32" s="1"/>
  <c r="H14" i="32"/>
  <c r="H15" i="32" s="1"/>
  <c r="D14" i="32"/>
  <c r="D15" i="32" s="1"/>
  <c r="C14" i="32"/>
  <c r="C15" i="32" s="1"/>
  <c r="H17" i="12"/>
  <c r="H18" i="12" s="1"/>
  <c r="H22" i="12" s="1"/>
  <c r="K15" i="12"/>
  <c r="G14" i="36"/>
  <c r="G15" i="36" s="1"/>
  <c r="B14" i="36"/>
  <c r="B15" i="36" s="1"/>
  <c r="C14" i="36"/>
  <c r="C15" i="36" s="1"/>
  <c r="D14" i="36"/>
  <c r="D15" i="36" s="1"/>
  <c r="E14" i="36"/>
  <c r="E15" i="36" s="1"/>
  <c r="H14" i="36"/>
  <c r="H15" i="36" s="1"/>
  <c r="K15" i="45"/>
  <c r="G14" i="31"/>
  <c r="G15" i="31" s="1"/>
  <c r="E14" i="31"/>
  <c r="E15" i="31" s="1"/>
  <c r="B14" i="31"/>
  <c r="B15" i="31" s="1"/>
  <c r="H14" i="31"/>
  <c r="H15" i="31" s="1"/>
  <c r="C14" i="31"/>
  <c r="C15" i="31" s="1"/>
  <c r="D14" i="31"/>
  <c r="D15" i="31" s="1"/>
  <c r="C14" i="1"/>
  <c r="C15" i="1" s="1"/>
  <c r="E14" i="1"/>
  <c r="E15" i="1" s="1"/>
  <c r="H14" i="1"/>
  <c r="H15" i="1" s="1"/>
  <c r="D14" i="1"/>
  <c r="D15" i="1" s="1"/>
  <c r="G14" i="1"/>
  <c r="G15" i="1" s="1"/>
  <c r="B14" i="1"/>
  <c r="B15" i="1" s="1"/>
  <c r="B14" i="22"/>
  <c r="B15" i="22" s="1"/>
  <c r="H14" i="22"/>
  <c r="H15" i="22" s="1"/>
  <c r="D14" i="22"/>
  <c r="D15" i="22" s="1"/>
  <c r="C14" i="22"/>
  <c r="C15" i="22" s="1"/>
  <c r="G14" i="22"/>
  <c r="G15" i="22" s="1"/>
  <c r="E14" i="22"/>
  <c r="E15" i="22" s="1"/>
  <c r="G14" i="23"/>
  <c r="G15" i="23" s="1"/>
  <c r="D14" i="23"/>
  <c r="D15" i="23" s="1"/>
  <c r="H14" i="23"/>
  <c r="H15" i="23" s="1"/>
  <c r="B14" i="23"/>
  <c r="B15" i="23" s="1"/>
  <c r="E14" i="23"/>
  <c r="E15" i="23" s="1"/>
  <c r="C14" i="23"/>
  <c r="C15" i="23" s="1"/>
  <c r="D14" i="28"/>
  <c r="D15" i="28" s="1"/>
  <c r="C14" i="28"/>
  <c r="C15" i="28" s="1"/>
  <c r="E14" i="28"/>
  <c r="E15" i="28" s="1"/>
  <c r="G14" i="28"/>
  <c r="G15" i="28" s="1"/>
  <c r="B14" i="28"/>
  <c r="B15" i="28" s="1"/>
  <c r="H14" i="28"/>
  <c r="H15" i="28" s="1"/>
  <c r="K15" i="14"/>
  <c r="B14" i="9"/>
  <c r="B15" i="9" s="1"/>
  <c r="C14" i="9"/>
  <c r="C15" i="9" s="1"/>
  <c r="H14" i="9"/>
  <c r="H15" i="9" s="1"/>
  <c r="G14" i="9"/>
  <c r="G15" i="9" s="1"/>
  <c r="E14" i="9"/>
  <c r="E15" i="9" s="1"/>
  <c r="D14" i="9"/>
  <c r="D15" i="9" s="1"/>
  <c r="K15" i="34"/>
  <c r="B14" i="30"/>
  <c r="B15" i="30" s="1"/>
  <c r="H14" i="30"/>
  <c r="H15" i="30" s="1"/>
  <c r="D14" i="30"/>
  <c r="D15" i="30" s="1"/>
  <c r="C14" i="30"/>
  <c r="C15" i="30" s="1"/>
  <c r="E14" i="30"/>
  <c r="E15" i="30" s="1"/>
  <c r="G14" i="30"/>
  <c r="G15" i="30" s="1"/>
  <c r="H14" i="18"/>
  <c r="H15" i="18" s="1"/>
  <c r="C14" i="18"/>
  <c r="C15" i="18" s="1"/>
  <c r="E14" i="18"/>
  <c r="E15" i="18" s="1"/>
  <c r="G14" i="18"/>
  <c r="G15" i="18" s="1"/>
  <c r="B14" i="18"/>
  <c r="B15" i="18" s="1"/>
  <c r="D14" i="18"/>
  <c r="D15" i="18" s="1"/>
  <c r="D14" i="21"/>
  <c r="D15" i="21" s="1"/>
  <c r="C14" i="21"/>
  <c r="C15" i="21" s="1"/>
  <c r="H14" i="21"/>
  <c r="H15" i="21" s="1"/>
  <c r="B14" i="21"/>
  <c r="B15" i="21" s="1"/>
  <c r="E14" i="21"/>
  <c r="E15" i="21" s="1"/>
  <c r="G14" i="21"/>
  <c r="G15" i="21" s="1"/>
  <c r="H17" i="10"/>
  <c r="H18" i="10" s="1"/>
  <c r="H22" i="10" s="1"/>
  <c r="K15" i="10"/>
  <c r="E14" i="37"/>
  <c r="E15" i="37" s="1"/>
  <c r="C14" i="37"/>
  <c r="C15" i="37" s="1"/>
  <c r="H14" i="37"/>
  <c r="H15" i="37" s="1"/>
  <c r="D14" i="37"/>
  <c r="D15" i="37" s="1"/>
  <c r="B14" i="37"/>
  <c r="B15" i="37" s="1"/>
  <c r="G14" i="37"/>
  <c r="G15" i="37" s="1"/>
  <c r="B14" i="19"/>
  <c r="B15" i="19" s="1"/>
  <c r="C14" i="19"/>
  <c r="C15" i="19" s="1"/>
  <c r="G14" i="19"/>
  <c r="G15" i="19" s="1"/>
  <c r="D14" i="19"/>
  <c r="D15" i="19" s="1"/>
  <c r="E14" i="19"/>
  <c r="E15" i="19" s="1"/>
  <c r="H14" i="19"/>
  <c r="H15" i="19" s="1"/>
  <c r="K15" i="7"/>
  <c r="H17" i="7"/>
  <c r="H18" i="7" s="1"/>
  <c r="H22" i="7" s="1"/>
  <c r="B22" i="49" l="1"/>
  <c r="B28" i="49" s="1"/>
  <c r="K20" i="49"/>
  <c r="K22" i="49" s="1"/>
  <c r="B22" i="48"/>
  <c r="B28" i="48" s="1"/>
  <c r="K20" i="48"/>
  <c r="K22" i="48" s="1"/>
  <c r="G22" i="5"/>
  <c r="B20" i="2"/>
  <c r="B22" i="2" s="1"/>
  <c r="B28" i="2" s="1"/>
  <c r="D20" i="5"/>
  <c r="D22" i="5" s="1"/>
  <c r="K18" i="5"/>
  <c r="C20" i="5"/>
  <c r="C22" i="5" s="1"/>
  <c r="E20" i="5"/>
  <c r="E22" i="5" s="1"/>
  <c r="D22" i="2"/>
  <c r="K18" i="2"/>
  <c r="G22" i="2"/>
  <c r="C20" i="2"/>
  <c r="C22" i="2" s="1"/>
  <c r="E20" i="2"/>
  <c r="E22" i="2" s="1"/>
  <c r="K15" i="38"/>
  <c r="K15" i="37"/>
  <c r="H17" i="37"/>
  <c r="H18" i="37" s="1"/>
  <c r="H22" i="37" s="1"/>
  <c r="B17" i="7"/>
  <c r="B18" i="7" s="1"/>
  <c r="C17" i="7"/>
  <c r="C18" i="7" s="1"/>
  <c r="D17" i="7"/>
  <c r="D18" i="7" s="1"/>
  <c r="E17" i="7"/>
  <c r="E18" i="7" s="1"/>
  <c r="G17" i="7"/>
  <c r="G18" i="7" s="1"/>
  <c r="G20" i="7" s="1"/>
  <c r="H17" i="19"/>
  <c r="H18" i="19" s="1"/>
  <c r="H22" i="19" s="1"/>
  <c r="K15" i="21"/>
  <c r="H17" i="30"/>
  <c r="H18" i="30" s="1"/>
  <c r="H22" i="30" s="1"/>
  <c r="H17" i="28"/>
  <c r="H18" i="28" s="1"/>
  <c r="H22" i="28" s="1"/>
  <c r="K15" i="23"/>
  <c r="H17" i="22"/>
  <c r="K15" i="1"/>
  <c r="H17" i="31"/>
  <c r="H17" i="36"/>
  <c r="H18" i="36" s="1"/>
  <c r="H22" i="36" s="1"/>
  <c r="K15" i="36"/>
  <c r="B22" i="5"/>
  <c r="B28" i="5" s="1"/>
  <c r="D17" i="12"/>
  <c r="D18" i="12" s="1"/>
  <c r="E17" i="12"/>
  <c r="E18" i="12" s="1"/>
  <c r="B17" i="12"/>
  <c r="B18" i="12" s="1"/>
  <c r="G17" i="12"/>
  <c r="G18" i="12" s="1"/>
  <c r="G20" i="12" s="1"/>
  <c r="C17" i="12"/>
  <c r="C18" i="12" s="1"/>
  <c r="H17" i="32"/>
  <c r="H17" i="4"/>
  <c r="H18" i="4" s="1"/>
  <c r="H22" i="4" s="1"/>
  <c r="K15" i="27"/>
  <c r="H17" i="27"/>
  <c r="H18" i="27" s="1"/>
  <c r="H22" i="27" s="1"/>
  <c r="H17" i="35"/>
  <c r="K15" i="17"/>
  <c r="H17" i="44"/>
  <c r="H17" i="20"/>
  <c r="H17" i="39"/>
  <c r="H17" i="15"/>
  <c r="H18" i="15" s="1"/>
  <c r="H22" i="15" s="1"/>
  <c r="H17" i="11"/>
  <c r="H18" i="11" s="1"/>
  <c r="H22" i="11" s="1"/>
  <c r="K15" i="24"/>
  <c r="H17" i="8"/>
  <c r="H18" i="8" s="1"/>
  <c r="H22" i="8" s="1"/>
  <c r="H17" i="29"/>
  <c r="K15" i="29"/>
  <c r="K15" i="40"/>
  <c r="H17" i="46"/>
  <c r="H18" i="46" s="1"/>
  <c r="H22" i="46" s="1"/>
  <c r="K15" i="13"/>
  <c r="C17" i="14"/>
  <c r="C18" i="14" s="1"/>
  <c r="B17" i="14"/>
  <c r="B18" i="14" s="1"/>
  <c r="G17" i="14"/>
  <c r="G18" i="14" s="1"/>
  <c r="G20" i="14" s="1"/>
  <c r="D17" i="14"/>
  <c r="D18" i="14" s="1"/>
  <c r="E17" i="14"/>
  <c r="E18" i="14" s="1"/>
  <c r="K15" i="19"/>
  <c r="B17" i="10"/>
  <c r="B18" i="10" s="1"/>
  <c r="D17" i="10"/>
  <c r="D18" i="10" s="1"/>
  <c r="C17" i="10"/>
  <c r="C18" i="10" s="1"/>
  <c r="E17" i="10"/>
  <c r="E18" i="10" s="1"/>
  <c r="G17" i="10"/>
  <c r="G18" i="10" s="1"/>
  <c r="G20" i="10" s="1"/>
  <c r="H17" i="21"/>
  <c r="H18" i="21" s="1"/>
  <c r="H22" i="21" s="1"/>
  <c r="K15" i="18"/>
  <c r="H17" i="18"/>
  <c r="K15" i="30"/>
  <c r="H17" i="9"/>
  <c r="K15" i="9"/>
  <c r="K15" i="28"/>
  <c r="H17" i="23"/>
  <c r="H18" i="23" s="1"/>
  <c r="H22" i="23" s="1"/>
  <c r="K15" i="22"/>
  <c r="H17" i="1"/>
  <c r="H18" i="1" s="1"/>
  <c r="H22" i="1" s="1"/>
  <c r="K15" i="31"/>
  <c r="K15" i="32"/>
  <c r="K15" i="4"/>
  <c r="D17" i="38"/>
  <c r="D18" i="38" s="1"/>
  <c r="B17" i="38"/>
  <c r="B18" i="38" s="1"/>
  <c r="C17" i="38"/>
  <c r="C18" i="38" s="1"/>
  <c r="E17" i="38"/>
  <c r="E18" i="38" s="1"/>
  <c r="G17" i="38"/>
  <c r="G18" i="38" s="1"/>
  <c r="G20" i="38" s="1"/>
  <c r="K15" i="35"/>
  <c r="H17" i="17"/>
  <c r="H18" i="17" s="1"/>
  <c r="H22" i="17" s="1"/>
  <c r="K15" i="44"/>
  <c r="K15" i="25"/>
  <c r="H17" i="25"/>
  <c r="H18" i="25" s="1"/>
  <c r="H22" i="25" s="1"/>
  <c r="K15" i="20"/>
  <c r="K15" i="39"/>
  <c r="K15" i="15"/>
  <c r="K15" i="11"/>
  <c r="D17" i="34"/>
  <c r="D18" i="34" s="1"/>
  <c r="E17" i="34"/>
  <c r="E18" i="34" s="1"/>
  <c r="B17" i="34"/>
  <c r="B18" i="34" s="1"/>
  <c r="G17" i="34"/>
  <c r="G18" i="34" s="1"/>
  <c r="G20" i="34" s="1"/>
  <c r="C17" i="34"/>
  <c r="C18" i="34" s="1"/>
  <c r="H17" i="24"/>
  <c r="H18" i="24" s="1"/>
  <c r="H22" i="24" s="1"/>
  <c r="H17" i="41"/>
  <c r="K15" i="41"/>
  <c r="K15" i="8"/>
  <c r="H17" i="6"/>
  <c r="H18" i="6" s="1"/>
  <c r="H22" i="6" s="1"/>
  <c r="K15" i="6"/>
  <c r="H17" i="40"/>
  <c r="H18" i="40" s="1"/>
  <c r="H22" i="40" s="1"/>
  <c r="K15" i="46"/>
  <c r="H17" i="13"/>
  <c r="C17" i="45"/>
  <c r="C18" i="45" s="1"/>
  <c r="G17" i="45"/>
  <c r="G18" i="45" s="1"/>
  <c r="G20" i="45" s="1"/>
  <c r="B17" i="45"/>
  <c r="B18" i="45" s="1"/>
  <c r="E17" i="45"/>
  <c r="E18" i="45" s="1"/>
  <c r="D17" i="45"/>
  <c r="D18" i="45" s="1"/>
  <c r="B30" i="49" l="1"/>
  <c r="B30" i="48"/>
  <c r="K20" i="5"/>
  <c r="K22" i="5" s="1"/>
  <c r="K20" i="2"/>
  <c r="K22" i="2" s="1"/>
  <c r="C20" i="45"/>
  <c r="C22" i="45" s="1"/>
  <c r="D20" i="45"/>
  <c r="D22" i="45" s="1"/>
  <c r="E20" i="45"/>
  <c r="E22" i="45" s="1"/>
  <c r="B20" i="45"/>
  <c r="G22" i="45"/>
  <c r="C17" i="41"/>
  <c r="C18" i="41" s="1"/>
  <c r="D17" i="41"/>
  <c r="D18" i="41" s="1"/>
  <c r="E17" i="41"/>
  <c r="E18" i="41" s="1"/>
  <c r="B17" i="41"/>
  <c r="B18" i="41" s="1"/>
  <c r="G17" i="41"/>
  <c r="G18" i="41" s="1"/>
  <c r="G20" i="41" s="1"/>
  <c r="B17" i="9"/>
  <c r="B18" i="9" s="1"/>
  <c r="C17" i="9"/>
  <c r="C18" i="9" s="1"/>
  <c r="E17" i="9"/>
  <c r="E18" i="9" s="1"/>
  <c r="D17" i="9"/>
  <c r="D18" i="9" s="1"/>
  <c r="G17" i="9"/>
  <c r="G18" i="9" s="1"/>
  <c r="G20" i="9" s="1"/>
  <c r="C17" i="18"/>
  <c r="C18" i="18" s="1"/>
  <c r="E17" i="18"/>
  <c r="E18" i="18" s="1"/>
  <c r="B17" i="18"/>
  <c r="B18" i="18" s="1"/>
  <c r="D17" i="18"/>
  <c r="D18" i="18" s="1"/>
  <c r="G17" i="18"/>
  <c r="G18" i="18" s="1"/>
  <c r="G20" i="18" s="1"/>
  <c r="C20" i="10"/>
  <c r="C22" i="10" s="1"/>
  <c r="E20" i="10"/>
  <c r="E22" i="10" s="1"/>
  <c r="G22" i="10"/>
  <c r="D20" i="10"/>
  <c r="D22" i="10" s="1"/>
  <c r="B20" i="10"/>
  <c r="E20" i="14"/>
  <c r="E22" i="14" s="1"/>
  <c r="G22" i="14"/>
  <c r="C20" i="14"/>
  <c r="C22" i="14" s="1"/>
  <c r="B20" i="14"/>
  <c r="D20" i="14"/>
  <c r="D22" i="14" s="1"/>
  <c r="D17" i="29"/>
  <c r="D18" i="29" s="1"/>
  <c r="C17" i="29"/>
  <c r="C18" i="29" s="1"/>
  <c r="G17" i="29"/>
  <c r="G18" i="29" s="1"/>
  <c r="G20" i="29" s="1"/>
  <c r="E17" i="29"/>
  <c r="E18" i="29" s="1"/>
  <c r="B17" i="29"/>
  <c r="B18" i="29" s="1"/>
  <c r="B30" i="2"/>
  <c r="C17" i="39"/>
  <c r="C18" i="39" s="1"/>
  <c r="E17" i="39"/>
  <c r="E18" i="39" s="1"/>
  <c r="G17" i="39"/>
  <c r="G18" i="39" s="1"/>
  <c r="G20" i="39" s="1"/>
  <c r="D17" i="39"/>
  <c r="D18" i="39" s="1"/>
  <c r="B17" i="39"/>
  <c r="B18" i="39" s="1"/>
  <c r="B17" i="20"/>
  <c r="B18" i="20" s="1"/>
  <c r="D17" i="20"/>
  <c r="D18" i="20" s="1"/>
  <c r="E17" i="20"/>
  <c r="E18" i="20" s="1"/>
  <c r="C17" i="20"/>
  <c r="C18" i="20" s="1"/>
  <c r="G17" i="20"/>
  <c r="G18" i="20" s="1"/>
  <c r="G20" i="20" s="1"/>
  <c r="E17" i="44"/>
  <c r="E18" i="44" s="1"/>
  <c r="C17" i="44"/>
  <c r="C18" i="44" s="1"/>
  <c r="G17" i="44"/>
  <c r="G18" i="44" s="1"/>
  <c r="G20" i="44" s="1"/>
  <c r="B17" i="44"/>
  <c r="B18" i="44" s="1"/>
  <c r="D17" i="44"/>
  <c r="D18" i="44" s="1"/>
  <c r="C17" i="35"/>
  <c r="C18" i="35" s="1"/>
  <c r="D17" i="35"/>
  <c r="D18" i="35" s="1"/>
  <c r="B17" i="35"/>
  <c r="B18" i="35" s="1"/>
  <c r="G17" i="35"/>
  <c r="G18" i="35" s="1"/>
  <c r="G20" i="35" s="1"/>
  <c r="E17" i="35"/>
  <c r="E18" i="35" s="1"/>
  <c r="B17" i="32"/>
  <c r="B18" i="32" s="1"/>
  <c r="E17" i="32"/>
  <c r="E18" i="32" s="1"/>
  <c r="G17" i="32"/>
  <c r="G18" i="32" s="1"/>
  <c r="G20" i="32" s="1"/>
  <c r="D17" i="32"/>
  <c r="D18" i="32" s="1"/>
  <c r="C17" i="32"/>
  <c r="C18" i="32" s="1"/>
  <c r="D20" i="12"/>
  <c r="D22" i="12" s="1"/>
  <c r="B20" i="12"/>
  <c r="C20" i="12"/>
  <c r="C22" i="12" s="1"/>
  <c r="E20" i="12"/>
  <c r="E22" i="12" s="1"/>
  <c r="G22" i="12"/>
  <c r="B30" i="5"/>
  <c r="G17" i="31"/>
  <c r="G18" i="31" s="1"/>
  <c r="G20" i="31" s="1"/>
  <c r="C17" i="31"/>
  <c r="C18" i="31" s="1"/>
  <c r="D17" i="31"/>
  <c r="D18" i="31" s="1"/>
  <c r="E17" i="31"/>
  <c r="E18" i="31" s="1"/>
  <c r="B17" i="31"/>
  <c r="B18" i="31" s="1"/>
  <c r="D17" i="22"/>
  <c r="D18" i="22" s="1"/>
  <c r="C17" i="22"/>
  <c r="C18" i="22" s="1"/>
  <c r="G17" i="22"/>
  <c r="G18" i="22" s="1"/>
  <c r="G20" i="22" s="1"/>
  <c r="B17" i="22"/>
  <c r="B18" i="22" s="1"/>
  <c r="E17" i="22"/>
  <c r="E18" i="22" s="1"/>
  <c r="D20" i="7"/>
  <c r="D22" i="7" s="1"/>
  <c r="C20" i="7"/>
  <c r="C22" i="7" s="1"/>
  <c r="E20" i="7"/>
  <c r="E22" i="7" s="1"/>
  <c r="G22" i="7"/>
  <c r="B20" i="7"/>
  <c r="K18" i="34"/>
  <c r="K18" i="38"/>
  <c r="K18" i="10"/>
  <c r="K18" i="7"/>
  <c r="D17" i="13"/>
  <c r="D18" i="13" s="1"/>
  <c r="G17" i="13"/>
  <c r="G18" i="13" s="1"/>
  <c r="G20" i="13" s="1"/>
  <c r="B17" i="13"/>
  <c r="B18" i="13" s="1"/>
  <c r="C17" i="13"/>
  <c r="C18" i="13" s="1"/>
  <c r="E17" i="13"/>
  <c r="E18" i="13" s="1"/>
  <c r="D17" i="40"/>
  <c r="D18" i="40" s="1"/>
  <c r="B17" i="40"/>
  <c r="B18" i="40" s="1"/>
  <c r="C17" i="40"/>
  <c r="C18" i="40" s="1"/>
  <c r="E17" i="40"/>
  <c r="E18" i="40" s="1"/>
  <c r="G17" i="40"/>
  <c r="G18" i="40" s="1"/>
  <c r="G20" i="40" s="1"/>
  <c r="B17" i="6"/>
  <c r="B18" i="6" s="1"/>
  <c r="E17" i="6"/>
  <c r="E18" i="6" s="1"/>
  <c r="G17" i="6"/>
  <c r="G18" i="6" s="1"/>
  <c r="G20" i="6" s="1"/>
  <c r="D17" i="6"/>
  <c r="D18" i="6" s="1"/>
  <c r="C17" i="6"/>
  <c r="C18" i="6" s="1"/>
  <c r="B17" i="24"/>
  <c r="B18" i="24" s="1"/>
  <c r="E17" i="24"/>
  <c r="E18" i="24" s="1"/>
  <c r="G17" i="24"/>
  <c r="G18" i="24" s="1"/>
  <c r="G20" i="24" s="1"/>
  <c r="C17" i="24"/>
  <c r="C18" i="24" s="1"/>
  <c r="D17" i="24"/>
  <c r="D18" i="24" s="1"/>
  <c r="C20" i="34"/>
  <c r="C22" i="34" s="1"/>
  <c r="D20" i="34"/>
  <c r="D22" i="34" s="1"/>
  <c r="E20" i="34"/>
  <c r="E22" i="34" s="1"/>
  <c r="B20" i="34"/>
  <c r="G22" i="34"/>
  <c r="D17" i="25"/>
  <c r="D18" i="25" s="1"/>
  <c r="B17" i="25"/>
  <c r="B18" i="25" s="1"/>
  <c r="E17" i="25"/>
  <c r="E18" i="25" s="1"/>
  <c r="C17" i="25"/>
  <c r="C18" i="25" s="1"/>
  <c r="G17" i="25"/>
  <c r="G18" i="25" s="1"/>
  <c r="G20" i="25" s="1"/>
  <c r="B17" i="17"/>
  <c r="B18" i="17" s="1"/>
  <c r="D17" i="17"/>
  <c r="D18" i="17" s="1"/>
  <c r="G17" i="17"/>
  <c r="G18" i="17" s="1"/>
  <c r="G20" i="17" s="1"/>
  <c r="C17" i="17"/>
  <c r="C18" i="17" s="1"/>
  <c r="E17" i="17"/>
  <c r="E18" i="17" s="1"/>
  <c r="E20" i="38"/>
  <c r="E22" i="38" s="1"/>
  <c r="C20" i="38"/>
  <c r="C22" i="38" s="1"/>
  <c r="D20" i="38"/>
  <c r="D22" i="38" s="1"/>
  <c r="G22" i="38"/>
  <c r="B20" i="38"/>
  <c r="C17" i="1"/>
  <c r="C18" i="1" s="1"/>
  <c r="E17" i="1"/>
  <c r="E18" i="1" s="1"/>
  <c r="B17" i="1"/>
  <c r="B18" i="1" s="1"/>
  <c r="D17" i="1"/>
  <c r="D18" i="1" s="1"/>
  <c r="G17" i="1"/>
  <c r="G18" i="1" s="1"/>
  <c r="G20" i="1" s="1"/>
  <c r="E17" i="23"/>
  <c r="E18" i="23" s="1"/>
  <c r="D17" i="23"/>
  <c r="D18" i="23" s="1"/>
  <c r="B17" i="23"/>
  <c r="B18" i="23" s="1"/>
  <c r="C17" i="23"/>
  <c r="C18" i="23" s="1"/>
  <c r="G17" i="23"/>
  <c r="G18" i="23" s="1"/>
  <c r="G20" i="23" s="1"/>
  <c r="G17" i="21"/>
  <c r="G18" i="21" s="1"/>
  <c r="G20" i="21" s="1"/>
  <c r="C17" i="21"/>
  <c r="C18" i="21" s="1"/>
  <c r="E17" i="21"/>
  <c r="E18" i="21" s="1"/>
  <c r="D17" i="21"/>
  <c r="D18" i="21" s="1"/>
  <c r="B17" i="21"/>
  <c r="B18" i="21" s="1"/>
  <c r="C17" i="46"/>
  <c r="C18" i="46" s="1"/>
  <c r="B17" i="46"/>
  <c r="B18" i="46" s="1"/>
  <c r="G17" i="46"/>
  <c r="G18" i="46" s="1"/>
  <c r="G20" i="46" s="1"/>
  <c r="E17" i="46"/>
  <c r="E18" i="46" s="1"/>
  <c r="D17" i="46"/>
  <c r="D18" i="46" s="1"/>
  <c r="D17" i="8"/>
  <c r="D18" i="8" s="1"/>
  <c r="C17" i="8"/>
  <c r="C18" i="8" s="1"/>
  <c r="B17" i="8"/>
  <c r="B18" i="8" s="1"/>
  <c r="E17" i="8"/>
  <c r="E18" i="8" s="1"/>
  <c r="G17" i="8"/>
  <c r="G18" i="8" s="1"/>
  <c r="G20" i="8" s="1"/>
  <c r="D17" i="11"/>
  <c r="D18" i="11" s="1"/>
  <c r="E17" i="11"/>
  <c r="E18" i="11" s="1"/>
  <c r="B17" i="11"/>
  <c r="B18" i="11" s="1"/>
  <c r="C17" i="11"/>
  <c r="C18" i="11" s="1"/>
  <c r="G17" i="11"/>
  <c r="G18" i="11" s="1"/>
  <c r="G20" i="11" s="1"/>
  <c r="C17" i="15"/>
  <c r="C18" i="15" s="1"/>
  <c r="B17" i="15"/>
  <c r="B18" i="15" s="1"/>
  <c r="D17" i="15"/>
  <c r="D18" i="15" s="1"/>
  <c r="G17" i="15"/>
  <c r="G18" i="15" s="1"/>
  <c r="G20" i="15" s="1"/>
  <c r="E17" i="15"/>
  <c r="E18" i="15" s="1"/>
  <c r="D17" i="27"/>
  <c r="D18" i="27" s="1"/>
  <c r="C17" i="27"/>
  <c r="C18" i="27" s="1"/>
  <c r="G17" i="27"/>
  <c r="G18" i="27" s="1"/>
  <c r="G20" i="27" s="1"/>
  <c r="E17" i="27"/>
  <c r="E18" i="27" s="1"/>
  <c r="B17" i="27"/>
  <c r="B18" i="27" s="1"/>
  <c r="G17" i="4"/>
  <c r="G18" i="4" s="1"/>
  <c r="G20" i="4" s="1"/>
  <c r="C17" i="4"/>
  <c r="C18" i="4" s="1"/>
  <c r="E17" i="4"/>
  <c r="E18" i="4" s="1"/>
  <c r="B17" i="4"/>
  <c r="B18" i="4" s="1"/>
  <c r="D17" i="4"/>
  <c r="D18" i="4" s="1"/>
  <c r="C17" i="36"/>
  <c r="C18" i="36" s="1"/>
  <c r="E17" i="36"/>
  <c r="E18" i="36" s="1"/>
  <c r="D17" i="36"/>
  <c r="D18" i="36" s="1"/>
  <c r="B17" i="36"/>
  <c r="B18" i="36" s="1"/>
  <c r="G17" i="36"/>
  <c r="G18" i="36" s="1"/>
  <c r="G20" i="36" s="1"/>
  <c r="E17" i="28"/>
  <c r="E18" i="28" s="1"/>
  <c r="G17" i="28"/>
  <c r="G18" i="28" s="1"/>
  <c r="G20" i="28" s="1"/>
  <c r="C17" i="28"/>
  <c r="C18" i="28" s="1"/>
  <c r="B17" i="28"/>
  <c r="B18" i="28" s="1"/>
  <c r="D17" i="28"/>
  <c r="D18" i="28" s="1"/>
  <c r="G17" i="30"/>
  <c r="G18" i="30" s="1"/>
  <c r="G20" i="30" s="1"/>
  <c r="C17" i="30"/>
  <c r="C18" i="30" s="1"/>
  <c r="B17" i="30"/>
  <c r="B18" i="30" s="1"/>
  <c r="D17" i="30"/>
  <c r="D18" i="30" s="1"/>
  <c r="E17" i="30"/>
  <c r="E18" i="30" s="1"/>
  <c r="C17" i="19"/>
  <c r="C18" i="19" s="1"/>
  <c r="E17" i="19"/>
  <c r="E18" i="19" s="1"/>
  <c r="B17" i="19"/>
  <c r="B18" i="19" s="1"/>
  <c r="D17" i="19"/>
  <c r="D18" i="19" s="1"/>
  <c r="G17" i="19"/>
  <c r="G18" i="19" s="1"/>
  <c r="G20" i="19" s="1"/>
  <c r="G17" i="37"/>
  <c r="G18" i="37" s="1"/>
  <c r="G20" i="37" s="1"/>
  <c r="E17" i="37"/>
  <c r="E18" i="37" s="1"/>
  <c r="B17" i="37"/>
  <c r="B18" i="37" s="1"/>
  <c r="D17" i="37"/>
  <c r="D18" i="37" s="1"/>
  <c r="C17" i="37"/>
  <c r="C18" i="37" s="1"/>
  <c r="K18" i="45"/>
  <c r="H18" i="13"/>
  <c r="H22" i="13" s="1"/>
  <c r="H18" i="41"/>
  <c r="H22" i="41" s="1"/>
  <c r="H18" i="9"/>
  <c r="H22" i="9" s="1"/>
  <c r="H18" i="18"/>
  <c r="H22" i="18" s="1"/>
  <c r="K18" i="14"/>
  <c r="H18" i="29"/>
  <c r="H22" i="29" s="1"/>
  <c r="H18" i="39"/>
  <c r="H22" i="39" s="1"/>
  <c r="H18" i="20"/>
  <c r="H22" i="20" s="1"/>
  <c r="H18" i="44"/>
  <c r="H22" i="44" s="1"/>
  <c r="H18" i="35"/>
  <c r="H22" i="35" s="1"/>
  <c r="H18" i="32"/>
  <c r="H22" i="32" s="1"/>
  <c r="K18" i="12"/>
  <c r="H18" i="31"/>
  <c r="H22" i="31" s="1"/>
  <c r="H18" i="22"/>
  <c r="H22" i="22" s="1"/>
  <c r="K18" i="27" l="1"/>
  <c r="K18" i="28"/>
  <c r="K18" i="4"/>
  <c r="G22" i="37"/>
  <c r="D20" i="37"/>
  <c r="D22" i="37" s="1"/>
  <c r="B20" i="37"/>
  <c r="C20" i="37"/>
  <c r="C22" i="37" s="1"/>
  <c r="E20" i="37"/>
  <c r="E22" i="37" s="1"/>
  <c r="G22" i="36"/>
  <c r="C20" i="36"/>
  <c r="C22" i="36" s="1"/>
  <c r="E20" i="36"/>
  <c r="E22" i="36" s="1"/>
  <c r="B20" i="36"/>
  <c r="D20" i="36"/>
  <c r="D22" i="36" s="1"/>
  <c r="G22" i="19"/>
  <c r="B20" i="19"/>
  <c r="C20" i="19"/>
  <c r="C22" i="19" s="1"/>
  <c r="D20" i="19"/>
  <c r="D22" i="19" s="1"/>
  <c r="E20" i="19"/>
  <c r="E22" i="19" s="1"/>
  <c r="G22" i="4"/>
  <c r="E20" i="4"/>
  <c r="E22" i="4" s="1"/>
  <c r="B20" i="4"/>
  <c r="C20" i="4"/>
  <c r="C22" i="4" s="1"/>
  <c r="D20" i="4"/>
  <c r="D22" i="4" s="1"/>
  <c r="G22" i="8"/>
  <c r="D20" i="8"/>
  <c r="D22" i="8" s="1"/>
  <c r="C20" i="8"/>
  <c r="C22" i="8" s="1"/>
  <c r="B20" i="8"/>
  <c r="E20" i="8"/>
  <c r="E22" i="8" s="1"/>
  <c r="G22" i="21"/>
  <c r="E20" i="21"/>
  <c r="E22" i="21" s="1"/>
  <c r="D20" i="21"/>
  <c r="D22" i="21" s="1"/>
  <c r="C20" i="21"/>
  <c r="C22" i="21" s="1"/>
  <c r="B20" i="21"/>
  <c r="G22" i="1"/>
  <c r="C20" i="1"/>
  <c r="C22" i="1" s="1"/>
  <c r="D20" i="1"/>
  <c r="D22" i="1" s="1"/>
  <c r="B20" i="1"/>
  <c r="E20" i="1"/>
  <c r="E22" i="1" s="1"/>
  <c r="G22" i="17"/>
  <c r="C20" i="17"/>
  <c r="C22" i="17" s="1"/>
  <c r="B20" i="17"/>
  <c r="D20" i="17"/>
  <c r="D22" i="17" s="1"/>
  <c r="E20" i="17"/>
  <c r="E22" i="17" s="1"/>
  <c r="G22" i="6"/>
  <c r="B20" i="6"/>
  <c r="E20" i="6"/>
  <c r="E22" i="6" s="1"/>
  <c r="D20" i="6"/>
  <c r="D22" i="6" s="1"/>
  <c r="C20" i="6"/>
  <c r="C22" i="6" s="1"/>
  <c r="G22" i="22"/>
  <c r="B20" i="22"/>
  <c r="C20" i="22"/>
  <c r="C22" i="22" s="1"/>
  <c r="E20" i="22"/>
  <c r="E22" i="22" s="1"/>
  <c r="D20" i="22"/>
  <c r="D22" i="22" s="1"/>
  <c r="G22" i="20"/>
  <c r="D20" i="20"/>
  <c r="D22" i="20" s="1"/>
  <c r="E20" i="20"/>
  <c r="E22" i="20" s="1"/>
  <c r="B20" i="20"/>
  <c r="C20" i="20"/>
  <c r="C22" i="20" s="1"/>
  <c r="G22" i="29"/>
  <c r="E20" i="29"/>
  <c r="E22" i="29" s="1"/>
  <c r="C20" i="29"/>
  <c r="C22" i="29" s="1"/>
  <c r="B20" i="29"/>
  <c r="D20" i="29"/>
  <c r="D22" i="29" s="1"/>
  <c r="K20" i="14"/>
  <c r="K22" i="14" s="1"/>
  <c r="B22" i="14"/>
  <c r="B28" i="14" s="1"/>
  <c r="B22" i="10"/>
  <c r="B28" i="10" s="1"/>
  <c r="K20" i="10"/>
  <c r="K22" i="10" s="1"/>
  <c r="G22" i="9"/>
  <c r="C20" i="9"/>
  <c r="C22" i="9" s="1"/>
  <c r="B20" i="9"/>
  <c r="E20" i="9"/>
  <c r="E22" i="9" s="1"/>
  <c r="D20" i="9"/>
  <c r="D22" i="9" s="1"/>
  <c r="K18" i="30"/>
  <c r="K18" i="19"/>
  <c r="K18" i="36"/>
  <c r="K18" i="8"/>
  <c r="K18" i="46"/>
  <c r="K18" i="21"/>
  <c r="K18" i="1"/>
  <c r="K18" i="17"/>
  <c r="K18" i="25"/>
  <c r="K18" i="6"/>
  <c r="K18" i="40"/>
  <c r="K18" i="13"/>
  <c r="K18" i="35"/>
  <c r="K18" i="44"/>
  <c r="K18" i="20"/>
  <c r="K18" i="29"/>
  <c r="K18" i="9"/>
  <c r="K18" i="41"/>
  <c r="G22" i="30"/>
  <c r="D20" i="30"/>
  <c r="D22" i="30" s="1"/>
  <c r="E20" i="30"/>
  <c r="E22" i="30" s="1"/>
  <c r="C20" i="30"/>
  <c r="C22" i="30" s="1"/>
  <c r="B20" i="30"/>
  <c r="G22" i="28"/>
  <c r="D20" i="28"/>
  <c r="D22" i="28" s="1"/>
  <c r="E20" i="28"/>
  <c r="E22" i="28" s="1"/>
  <c r="B20" i="28"/>
  <c r="C20" i="28"/>
  <c r="C22" i="28" s="1"/>
  <c r="G22" i="27"/>
  <c r="C20" i="27"/>
  <c r="C22" i="27" s="1"/>
  <c r="B20" i="27"/>
  <c r="D20" i="27"/>
  <c r="D22" i="27" s="1"/>
  <c r="E20" i="27"/>
  <c r="E22" i="27" s="1"/>
  <c r="G22" i="15"/>
  <c r="C20" i="15"/>
  <c r="C22" i="15" s="1"/>
  <c r="D20" i="15"/>
  <c r="D22" i="15" s="1"/>
  <c r="E20" i="15"/>
  <c r="E22" i="15" s="1"/>
  <c r="B20" i="15"/>
  <c r="G22" i="11"/>
  <c r="D20" i="11"/>
  <c r="D22" i="11" s="1"/>
  <c r="E20" i="11"/>
  <c r="E22" i="11" s="1"/>
  <c r="C20" i="11"/>
  <c r="C22" i="11" s="1"/>
  <c r="B20" i="11"/>
  <c r="G22" i="46"/>
  <c r="E20" i="46"/>
  <c r="E22" i="46" s="1"/>
  <c r="B20" i="46"/>
  <c r="D20" i="46"/>
  <c r="D22" i="46" s="1"/>
  <c r="C20" i="46"/>
  <c r="C22" i="46" s="1"/>
  <c r="G22" i="23"/>
  <c r="B20" i="23"/>
  <c r="C20" i="23"/>
  <c r="C22" i="23" s="1"/>
  <c r="D20" i="23"/>
  <c r="D22" i="23" s="1"/>
  <c r="E20" i="23"/>
  <c r="E22" i="23" s="1"/>
  <c r="K20" i="38"/>
  <c r="K22" i="38" s="1"/>
  <c r="B22" i="38"/>
  <c r="B28" i="38" s="1"/>
  <c r="B30" i="38" s="1"/>
  <c r="G22" i="25"/>
  <c r="D20" i="25"/>
  <c r="D22" i="25" s="1"/>
  <c r="B20" i="25"/>
  <c r="C20" i="25"/>
  <c r="C22" i="25" s="1"/>
  <c r="E20" i="25"/>
  <c r="E22" i="25" s="1"/>
  <c r="K20" i="34"/>
  <c r="K22" i="34" s="1"/>
  <c r="B22" i="34"/>
  <c r="B28" i="34" s="1"/>
  <c r="G22" i="24"/>
  <c r="B20" i="24"/>
  <c r="E20" i="24"/>
  <c r="E22" i="24" s="1"/>
  <c r="D20" i="24"/>
  <c r="D22" i="24" s="1"/>
  <c r="C20" i="24"/>
  <c r="C22" i="24" s="1"/>
  <c r="G22" i="40"/>
  <c r="C20" i="40"/>
  <c r="C22" i="40" s="1"/>
  <c r="E20" i="40"/>
  <c r="E22" i="40" s="1"/>
  <c r="B20" i="40"/>
  <c r="D20" i="40"/>
  <c r="D22" i="40" s="1"/>
  <c r="G22" i="13"/>
  <c r="D20" i="13"/>
  <c r="D22" i="13" s="1"/>
  <c r="C20" i="13"/>
  <c r="C22" i="13" s="1"/>
  <c r="E20" i="13"/>
  <c r="E22" i="13" s="1"/>
  <c r="B20" i="13"/>
  <c r="K20" i="7"/>
  <c r="K22" i="7" s="1"/>
  <c r="B22" i="7"/>
  <c r="B28" i="7" s="1"/>
  <c r="G22" i="31"/>
  <c r="D20" i="31"/>
  <c r="D22" i="31" s="1"/>
  <c r="E20" i="31"/>
  <c r="E22" i="31" s="1"/>
  <c r="C20" i="31"/>
  <c r="C22" i="31" s="1"/>
  <c r="B20" i="31"/>
  <c r="K20" i="12"/>
  <c r="K22" i="12" s="1"/>
  <c r="B22" i="12"/>
  <c r="B28" i="12" s="1"/>
  <c r="G22" i="32"/>
  <c r="B20" i="32"/>
  <c r="E20" i="32"/>
  <c r="E22" i="32" s="1"/>
  <c r="D20" i="32"/>
  <c r="D22" i="32" s="1"/>
  <c r="C20" i="32"/>
  <c r="C22" i="32" s="1"/>
  <c r="G22" i="35"/>
  <c r="B20" i="35"/>
  <c r="E20" i="35"/>
  <c r="E22" i="35" s="1"/>
  <c r="C20" i="35"/>
  <c r="C22" i="35" s="1"/>
  <c r="D20" i="35"/>
  <c r="D22" i="35" s="1"/>
  <c r="G22" i="44"/>
  <c r="E20" i="44"/>
  <c r="E22" i="44" s="1"/>
  <c r="B20" i="44"/>
  <c r="D20" i="44"/>
  <c r="D22" i="44" s="1"/>
  <c r="C20" i="44"/>
  <c r="C22" i="44" s="1"/>
  <c r="G22" i="39"/>
  <c r="C20" i="39"/>
  <c r="C22" i="39" s="1"/>
  <c r="E20" i="39"/>
  <c r="E22" i="39" s="1"/>
  <c r="B20" i="39"/>
  <c r="D20" i="39"/>
  <c r="D22" i="39" s="1"/>
  <c r="G22" i="18"/>
  <c r="C20" i="18"/>
  <c r="C22" i="18" s="1"/>
  <c r="D20" i="18"/>
  <c r="D22" i="18" s="1"/>
  <c r="E20" i="18"/>
  <c r="E22" i="18" s="1"/>
  <c r="B20" i="18"/>
  <c r="G22" i="41"/>
  <c r="D20" i="41"/>
  <c r="D22" i="41" s="1"/>
  <c r="B20" i="41"/>
  <c r="E20" i="41"/>
  <c r="E22" i="41" s="1"/>
  <c r="C20" i="41"/>
  <c r="C22" i="41" s="1"/>
  <c r="K20" i="45"/>
  <c r="K22" i="45" s="1"/>
  <c r="B22" i="45"/>
  <c r="B28" i="45" s="1"/>
  <c r="K18" i="37"/>
  <c r="K18" i="15"/>
  <c r="K18" i="11"/>
  <c r="K18" i="23"/>
  <c r="K18" i="24"/>
  <c r="K18" i="22"/>
  <c r="K18" i="31"/>
  <c r="K18" i="32"/>
  <c r="K18" i="39"/>
  <c r="K18" i="18"/>
  <c r="K20" i="18" l="1"/>
  <c r="K22" i="18" s="1"/>
  <c r="B22" i="18"/>
  <c r="B28" i="18" s="1"/>
  <c r="K20" i="39"/>
  <c r="K22" i="39" s="1"/>
  <c r="B22" i="39"/>
  <c r="B28" i="39" s="1"/>
  <c r="B30" i="39" s="1"/>
  <c r="K20" i="35"/>
  <c r="K22" i="35" s="1"/>
  <c r="B22" i="35"/>
  <c r="B28" i="35" s="1"/>
  <c r="B30" i="7"/>
  <c r="B30" i="45"/>
  <c r="K20" i="41"/>
  <c r="K22" i="41" s="1"/>
  <c r="B22" i="41"/>
  <c r="B28" i="41" s="1"/>
  <c r="K20" i="32"/>
  <c r="K22" i="32" s="1"/>
  <c r="B22" i="32"/>
  <c r="B28" i="32" s="1"/>
  <c r="B30" i="12"/>
  <c r="B22" i="31"/>
  <c r="B28" i="31" s="1"/>
  <c r="K20" i="31"/>
  <c r="K22" i="31" s="1"/>
  <c r="K20" i="24"/>
  <c r="K22" i="24" s="1"/>
  <c r="B22" i="24"/>
  <c r="B28" i="24" s="1"/>
  <c r="B30" i="34"/>
  <c r="K20" i="25"/>
  <c r="K22" i="25" s="1"/>
  <c r="B22" i="25"/>
  <c r="B28" i="25" s="1"/>
  <c r="K20" i="23"/>
  <c r="K22" i="23" s="1"/>
  <c r="B22" i="23"/>
  <c r="B28" i="23" s="1"/>
  <c r="K20" i="46"/>
  <c r="K22" i="46" s="1"/>
  <c r="B22" i="46"/>
  <c r="B28" i="46" s="1"/>
  <c r="B22" i="15"/>
  <c r="B28" i="15" s="1"/>
  <c r="B30" i="15" s="1"/>
  <c r="K20" i="15"/>
  <c r="K22" i="15" s="1"/>
  <c r="K20" i="9"/>
  <c r="K22" i="9" s="1"/>
  <c r="B22" i="9"/>
  <c r="B28" i="9" s="1"/>
  <c r="B30" i="10"/>
  <c r="B22" i="29"/>
  <c r="B28" i="29" s="1"/>
  <c r="B30" i="29" s="1"/>
  <c r="K20" i="29"/>
  <c r="K22" i="29" s="1"/>
  <c r="K20" i="22"/>
  <c r="K22" i="22" s="1"/>
  <c r="B22" i="22"/>
  <c r="B28" i="22" s="1"/>
  <c r="K20" i="36"/>
  <c r="K22" i="36" s="1"/>
  <c r="B22" i="36"/>
  <c r="B28" i="36" s="1"/>
  <c r="K20" i="37"/>
  <c r="K22" i="37" s="1"/>
  <c r="B22" i="37"/>
  <c r="B28" i="37" s="1"/>
  <c r="B22" i="44"/>
  <c r="B28" i="44" s="1"/>
  <c r="B30" i="44" s="1"/>
  <c r="K20" i="44"/>
  <c r="K22" i="44" s="1"/>
  <c r="B22" i="13"/>
  <c r="B28" i="13" s="1"/>
  <c r="K20" i="13"/>
  <c r="K22" i="13" s="1"/>
  <c r="K20" i="40"/>
  <c r="K22" i="40" s="1"/>
  <c r="B22" i="40"/>
  <c r="B28" i="40" s="1"/>
  <c r="B22" i="11"/>
  <c r="B28" i="11" s="1"/>
  <c r="K20" i="11"/>
  <c r="K22" i="11" s="1"/>
  <c r="K20" i="27"/>
  <c r="K22" i="27" s="1"/>
  <c r="B22" i="27"/>
  <c r="B28" i="27" s="1"/>
  <c r="K20" i="28"/>
  <c r="K22" i="28" s="1"/>
  <c r="B22" i="28"/>
  <c r="B28" i="28" s="1"/>
  <c r="K20" i="30"/>
  <c r="K22" i="30" s="1"/>
  <c r="B22" i="30"/>
  <c r="B28" i="30" s="1"/>
  <c r="B30" i="14"/>
  <c r="K20" i="20"/>
  <c r="K22" i="20" s="1"/>
  <c r="B22" i="20"/>
  <c r="B28" i="20" s="1"/>
  <c r="K20" i="6"/>
  <c r="K22" i="6" s="1"/>
  <c r="B22" i="6"/>
  <c r="B28" i="6" s="1"/>
  <c r="K20" i="17"/>
  <c r="K22" i="17" s="1"/>
  <c r="B22" i="17"/>
  <c r="B28" i="17" s="1"/>
  <c r="K20" i="1"/>
  <c r="K22" i="1" s="1"/>
  <c r="B22" i="1"/>
  <c r="B28" i="1" s="1"/>
  <c r="K20" i="21"/>
  <c r="K22" i="21" s="1"/>
  <c r="B22" i="21"/>
  <c r="B28" i="21" s="1"/>
  <c r="K20" i="8"/>
  <c r="K22" i="8" s="1"/>
  <c r="B22" i="8"/>
  <c r="B28" i="8" s="1"/>
  <c r="K20" i="4"/>
  <c r="K22" i="4" s="1"/>
  <c r="B22" i="4"/>
  <c r="B28" i="4" s="1"/>
  <c r="K20" i="19"/>
  <c r="K22" i="19" s="1"/>
  <c r="B22" i="19"/>
  <c r="B28" i="19" s="1"/>
  <c r="B30" i="4" l="1"/>
  <c r="B30" i="8"/>
  <c r="B30" i="1"/>
  <c r="B30" i="6"/>
  <c r="B30" i="30"/>
  <c r="B30" i="27"/>
  <c r="B30" i="40"/>
  <c r="B30" i="37"/>
  <c r="B30" i="22"/>
  <c r="B30" i="9"/>
  <c r="B30" i="11"/>
  <c r="B30" i="13"/>
  <c r="B30" i="31"/>
  <c r="B30" i="19"/>
  <c r="B30" i="21"/>
  <c r="B30" i="17"/>
  <c r="B30" i="20"/>
  <c r="B30" i="28"/>
  <c r="B30" i="36"/>
  <c r="B30" i="46"/>
  <c r="B30" i="23"/>
  <c r="B30" i="25"/>
  <c r="B30" i="24"/>
  <c r="B30" i="32"/>
  <c r="B30" i="41"/>
  <c r="B30" i="35"/>
  <c r="B30" i="18"/>
</calcChain>
</file>

<file path=xl/sharedStrings.xml><?xml version="1.0" encoding="utf-8"?>
<sst xmlns="http://schemas.openxmlformats.org/spreadsheetml/2006/main" count="1102" uniqueCount="108">
  <si>
    <t>Other</t>
  </si>
  <si>
    <t>Total</t>
  </si>
  <si>
    <t>TOTAL  -  Direct Costs</t>
  </si>
  <si>
    <t>Physical Plant</t>
  </si>
  <si>
    <t xml:space="preserve">    Sub-total</t>
  </si>
  <si>
    <t>Institutional Support</t>
  </si>
  <si>
    <t>Student Support</t>
  </si>
  <si>
    <t>Academic Support</t>
  </si>
  <si>
    <t>FULLY ALLOCATED COSTS</t>
  </si>
  <si>
    <t>Direct Instruction</t>
  </si>
  <si>
    <t>Indirect</t>
  </si>
  <si>
    <t>Indirect per FYE</t>
  </si>
  <si>
    <t>Instruction &amp; Dept Research</t>
  </si>
  <si>
    <t>Separately Budgeted Research</t>
  </si>
  <si>
    <t>Public Service</t>
  </si>
  <si>
    <t>Institution Support</t>
  </si>
  <si>
    <t>PRIMARY PROGRAMS</t>
  </si>
  <si>
    <t>SUPPORT PROGRAMS</t>
  </si>
  <si>
    <t>ANOKA RAMSEY CC</t>
  </si>
  <si>
    <t>BEMIDJI SU</t>
  </si>
  <si>
    <t>CENTRAL LAKES COLLEGE</t>
  </si>
  <si>
    <t>CENTURY COLLEGE</t>
  </si>
  <si>
    <t>DAKOTA COUNTY TC</t>
  </si>
  <si>
    <t>FOND DU LAC TRIBAL &amp; CC</t>
  </si>
  <si>
    <t>HENNEPIN TC</t>
  </si>
  <si>
    <t>INVER HILLS CC</t>
  </si>
  <si>
    <t>LAKE SUPERIOR COLLEGE</t>
  </si>
  <si>
    <t>MINNESOTA WEST COLLEGE</t>
  </si>
  <si>
    <t>NORMANDALE CC</t>
  </si>
  <si>
    <t>NORTH HENNEPIN CC</t>
  </si>
  <si>
    <t>RAINY RIVER CC</t>
  </si>
  <si>
    <t>RIDGEWATER COLLEGE</t>
  </si>
  <si>
    <t>ST CLOUD SU</t>
  </si>
  <si>
    <t>WINONA SU</t>
  </si>
  <si>
    <t>NORTHEAST HIGHER EDUCATION DISTRICT</t>
  </si>
  <si>
    <t>Institution Name</t>
  </si>
  <si>
    <t>Instruction</t>
  </si>
  <si>
    <t>Research</t>
  </si>
  <si>
    <t>Student Services</t>
  </si>
  <si>
    <t>Central Lakes College</t>
  </si>
  <si>
    <t>Century College</t>
  </si>
  <si>
    <t>Lake Superior College</t>
  </si>
  <si>
    <t>Minnesota SU Moorhead</t>
  </si>
  <si>
    <t>Minnesota SU, Mankato</t>
  </si>
  <si>
    <t>Minnesota West College</t>
  </si>
  <si>
    <t>Ridgewater College</t>
  </si>
  <si>
    <t>TOTAL</t>
  </si>
  <si>
    <t>Saint Paul College</t>
  </si>
  <si>
    <t>ANOKA TC</t>
  </si>
  <si>
    <t>METROPOLITAN SU</t>
  </si>
  <si>
    <t>SOUTHWEST MINNESOTA SU</t>
  </si>
  <si>
    <t>SAINT PAUL COLLEGE</t>
  </si>
  <si>
    <t>GFS 105 - excludes transfers, prior year salary, cost subsidies &amp; fiscal/auxiliary activities; instruction includes credit based; public service includes non credit and customized training/continuing education instruction; Other includes SGR appro and intercollegiate athletics</t>
  </si>
  <si>
    <t>NORTHWEST TC-BEMIDJI</t>
  </si>
  <si>
    <t>BEMIDJI SU &amp; NORTHWEST TC-BEMIDJI</t>
  </si>
  <si>
    <t>MINNESOTA SU MOORHEAD</t>
  </si>
  <si>
    <t>MINNESOTA SU, MANKATO</t>
  </si>
  <si>
    <t>MESABI RANGE COLLEGE</t>
  </si>
  <si>
    <t>VERMILION CC</t>
  </si>
  <si>
    <t>SOUTH CENTRAL COLLEGE</t>
  </si>
  <si>
    <t>MNSCU SYSTEM -- INCLUDES COST OF MnSCU SYSTEMWIDE/OFFICE OF THE CHANCELLOR &amp; NORTHEAST SERVICE UNIT</t>
  </si>
  <si>
    <t>South Central College</t>
  </si>
  <si>
    <t>ST CLOUD TCC</t>
  </si>
  <si>
    <t>Anoka Ramsey CC - Anoka TC</t>
  </si>
  <si>
    <t>ANOKA RAMSEY CC - ANOKA TC</t>
  </si>
  <si>
    <t>Alexandria Technical &amp; Community College</t>
  </si>
  <si>
    <t xml:space="preserve">    Anoka-Ramsey Community College</t>
  </si>
  <si>
    <t xml:space="preserve">    Anoka Technical College</t>
  </si>
  <si>
    <t xml:space="preserve">   Bemidji State University</t>
  </si>
  <si>
    <t xml:space="preserve">   Northwest Technical College-Bemidji</t>
  </si>
  <si>
    <t>Bemidji State University &amp; Northwest Technical College-Bemidji</t>
  </si>
  <si>
    <t>Fond du Lac Tribal &amp; Community College</t>
  </si>
  <si>
    <t>Hennepin Technical College</t>
  </si>
  <si>
    <t>Metropolitan State University</t>
  </si>
  <si>
    <t>Minneapolis Community &amp; Technical College</t>
  </si>
  <si>
    <t>Minnesota State College-Southeast Technical</t>
  </si>
  <si>
    <t>Minnesota State Community &amp; Technical College</t>
  </si>
  <si>
    <t>Normandale Community College</t>
  </si>
  <si>
    <t>North Hennepin Community College</t>
  </si>
  <si>
    <t>Northland Community &amp; Technical College</t>
  </si>
  <si>
    <t>Pine Technical &amp; Community College</t>
  </si>
  <si>
    <t>Riverland Community College</t>
  </si>
  <si>
    <t>Rochester Community &amp; Technical College</t>
  </si>
  <si>
    <t>Southwest Minnesota State University</t>
  </si>
  <si>
    <t>St. Cloud State University</t>
  </si>
  <si>
    <t>St. Cloud Technical &amp; Community College</t>
  </si>
  <si>
    <t>Winona State University</t>
  </si>
  <si>
    <t>ALEXANDRIA TCC</t>
  </si>
  <si>
    <t>MINNEAPOLIS CTC</t>
  </si>
  <si>
    <t>MINNESOTA SC-SOUTHEAST TECHNICAL</t>
  </si>
  <si>
    <t>MINNESOTA STATE CTC</t>
  </si>
  <si>
    <t>HIBBING COMMUNITY COLLEGE</t>
  </si>
  <si>
    <t>ITASCA COMMUNITY COLLEGE</t>
  </si>
  <si>
    <t>NORTHLAND CTC</t>
  </si>
  <si>
    <t>PINE TCC</t>
  </si>
  <si>
    <t>RIVERLAND CC</t>
  </si>
  <si>
    <t>ROCHESTER CTC</t>
  </si>
  <si>
    <t xml:space="preserve">Minnesota State </t>
  </si>
  <si>
    <t xml:space="preserve">   Dakota County Technical College</t>
  </si>
  <si>
    <t xml:space="preserve">   Inver Hills Community College</t>
  </si>
  <si>
    <t>Inver Hills CC - Dakota County TC</t>
  </si>
  <si>
    <t>INVER HILLS CC - DAKOTA COUNTY TC</t>
  </si>
  <si>
    <t>Minnesota North</t>
  </si>
  <si>
    <t>FY2022 FYE</t>
  </si>
  <si>
    <t>FP&amp;A March 2025</t>
  </si>
  <si>
    <t>MINNESOTA STATE - F.Y. 2024</t>
  </si>
  <si>
    <t>FY2024 FYE</t>
  </si>
  <si>
    <t>FY2024 Expenditures by IPEDS Category -- Used in Step 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</si>
</sst>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_);[Red]\(#,##0.000\)"/>
  </numFmts>
  <fonts count="13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color indexed="8"/>
      <name val="MS Sans Serif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6" fillId="0" borderId="0"/>
  </cellStyleXfs>
  <cellXfs count="34">
    <xf numFmtId="0" fontId="0" fillId="0" borderId="0" xfId="0"/>
    <xf numFmtId="38" fontId="0" fillId="0" borderId="0" xfId="0" applyNumberFormat="1"/>
    <xf numFmtId="38" fontId="0" fillId="0" borderId="0" xfId="0" applyNumberFormat="1" applyAlignment="1">
      <alignment horizontal="center"/>
    </xf>
    <xf numFmtId="38" fontId="1" fillId="0" borderId="0" xfId="0" applyNumberFormat="1" applyFont="1"/>
    <xf numFmtId="38" fontId="2" fillId="0" borderId="0" xfId="0" applyNumberFormat="1" applyFont="1" applyAlignment="1">
      <alignment horizontal="centerContinuous"/>
    </xf>
    <xf numFmtId="0" fontId="3" fillId="0" borderId="0" xfId="0" applyFont="1"/>
    <xf numFmtId="38" fontId="0" fillId="0" borderId="0" xfId="0" applyNumberFormat="1" applyAlignment="1">
      <alignment horizontal="center" wrapText="1"/>
    </xf>
    <xf numFmtId="38" fontId="0" fillId="0" borderId="0" xfId="0" applyNumberFormat="1" applyAlignment="1">
      <alignment wrapText="1"/>
    </xf>
    <xf numFmtId="38" fontId="1" fillId="0" borderId="1" xfId="0" applyNumberFormat="1" applyFont="1" applyBorder="1" applyAlignment="1">
      <alignment horizontal="centerContinuous"/>
    </xf>
    <xf numFmtId="38" fontId="0" fillId="0" borderId="1" xfId="0" applyNumberFormat="1" applyBorder="1" applyAlignment="1">
      <alignment horizontal="centerContinuous"/>
    </xf>
    <xf numFmtId="0" fontId="4" fillId="0" borderId="0" xfId="0" applyFont="1"/>
    <xf numFmtId="0" fontId="7" fillId="0" borderId="0" xfId="0" applyFont="1"/>
    <xf numFmtId="0" fontId="5" fillId="0" borderId="3" xfId="2" applyFont="1" applyBorder="1" applyAlignment="1">
      <alignment horizontal="left" wrapText="1"/>
    </xf>
    <xf numFmtId="38" fontId="5" fillId="0" borderId="2" xfId="1" applyNumberFormat="1" applyFont="1" applyBorder="1" applyAlignment="1">
      <alignment horizontal="right" wrapText="1"/>
    </xf>
    <xf numFmtId="38" fontId="4" fillId="0" borderId="0" xfId="0" applyNumberFormat="1" applyFont="1"/>
    <xf numFmtId="38" fontId="9" fillId="0" borderId="0" xfId="0" applyNumberFormat="1" applyFont="1"/>
    <xf numFmtId="38" fontId="5" fillId="0" borderId="2" xfId="2" applyNumberFormat="1" applyFont="1" applyBorder="1" applyAlignment="1">
      <alignment horizontal="center" wrapText="1"/>
    </xf>
    <xf numFmtId="38" fontId="5" fillId="0" borderId="5" xfId="2" applyNumberFormat="1" applyFont="1" applyBorder="1" applyAlignment="1">
      <alignment horizontal="center" wrapText="1"/>
    </xf>
    <xf numFmtId="38" fontId="5" fillId="0" borderId="6" xfId="1" applyNumberFormat="1" applyFont="1" applyBorder="1" applyAlignment="1">
      <alignment horizontal="right" wrapText="1"/>
    </xf>
    <xf numFmtId="38" fontId="5" fillId="0" borderId="0" xfId="1" applyNumberFormat="1" applyFont="1" applyAlignment="1">
      <alignment horizontal="right" wrapText="1"/>
    </xf>
    <xf numFmtId="38" fontId="5" fillId="0" borderId="6" xfId="1" applyNumberFormat="1" applyFont="1" applyBorder="1"/>
    <xf numFmtId="38" fontId="5" fillId="0" borderId="2" xfId="2" applyNumberFormat="1" applyFont="1" applyBorder="1" applyAlignment="1">
      <alignment horizontal="right" wrapText="1"/>
    </xf>
    <xf numFmtId="0" fontId="12" fillId="0" borderId="0" xfId="0" applyFont="1"/>
    <xf numFmtId="38" fontId="4" fillId="0" borderId="4" xfId="0" applyNumberFormat="1" applyFont="1" applyBorder="1" applyAlignment="1">
      <alignment horizontal="right" wrapText="1"/>
    </xf>
    <xf numFmtId="0" fontId="5" fillId="0" borderId="2" xfId="2" applyFont="1" applyBorder="1" applyAlignment="1">
      <alignment horizontal="left" wrapText="1"/>
    </xf>
    <xf numFmtId="0" fontId="5" fillId="0" borderId="2" xfId="2" applyFont="1" applyBorder="1" applyAlignment="1">
      <alignment horizontal="center" wrapText="1"/>
    </xf>
    <xf numFmtId="38" fontId="4" fillId="0" borderId="2" xfId="0" applyNumberFormat="1" applyFont="1" applyBorder="1" applyAlignment="1">
      <alignment horizontal="center" wrapText="1"/>
    </xf>
    <xf numFmtId="49" fontId="10" fillId="0" borderId="0" xfId="0" applyNumberFormat="1" applyFont="1"/>
    <xf numFmtId="164" fontId="4" fillId="0" borderId="0" xfId="0" applyNumberFormat="1" applyFont="1"/>
    <xf numFmtId="38" fontId="5" fillId="0" borderId="6" xfId="1" applyNumberFormat="1" applyFont="1" applyFill="1" applyBorder="1" applyAlignment="1">
      <alignment horizontal="right" wrapText="1"/>
    </xf>
    <xf numFmtId="38" fontId="4" fillId="0" borderId="4" xfId="0" applyNumberFormat="1" applyFont="1" applyFill="1" applyBorder="1" applyAlignment="1">
      <alignment horizontal="right" wrapText="1"/>
    </xf>
    <xf numFmtId="0" fontId="4" fillId="0" borderId="0" xfId="0" applyFont="1" applyFill="1"/>
    <xf numFmtId="38" fontId="5" fillId="0" borderId="2" xfId="2" applyNumberFormat="1" applyFont="1" applyFill="1" applyBorder="1" applyAlignment="1">
      <alignment horizontal="right" wrapText="1"/>
    </xf>
    <xf numFmtId="0" fontId="4" fillId="0" borderId="0" xfId="0" applyFont="1" applyAlignment="1">
      <alignment wrapText="1"/>
    </xf>
  </cellXfs>
  <cellStyles count="3">
    <cellStyle name="Normal" xfId="0" builtinId="0"/>
    <cellStyle name="Normal_Master Expend Table" xfId="1" xr:uid="{00000000-0005-0000-0000-000002000000}"/>
    <cellStyle name="Normal_Sheet1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46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39" sqref="C39"/>
    </sheetView>
  </sheetViews>
  <sheetFormatPr defaultColWidth="9.140625" defaultRowHeight="12" x14ac:dyDescent="0.2"/>
  <cols>
    <col min="1" max="1" width="35.7109375" style="10" customWidth="1"/>
    <col min="2" max="2" width="11.42578125" style="14" customWidth="1"/>
    <col min="3" max="3" width="10.140625" style="14" customWidth="1"/>
    <col min="4" max="4" width="11.28515625" style="14" customWidth="1"/>
    <col min="5" max="5" width="10.140625" style="14" customWidth="1"/>
    <col min="6" max="6" width="2.7109375" style="14" customWidth="1"/>
    <col min="7" max="7" width="14.85546875" style="14" customWidth="1"/>
    <col min="8" max="8" width="13.7109375" style="14" customWidth="1"/>
    <col min="9" max="9" width="14.5703125" style="14" customWidth="1"/>
    <col min="10" max="10" width="11.7109375" style="14" customWidth="1"/>
    <col min="11" max="11" width="12.7109375" style="14" customWidth="1"/>
    <col min="12" max="12" width="2.28515625" style="10" customWidth="1"/>
    <col min="13" max="13" width="14" style="10" bestFit="1" customWidth="1"/>
    <col min="14" max="14" width="9.42578125" style="10" bestFit="1" customWidth="1"/>
    <col min="15" max="16384" width="9.140625" style="10"/>
  </cols>
  <sheetData>
    <row r="1" spans="1:14" ht="20.25" x14ac:dyDescent="0.3">
      <c r="A1" s="11" t="s">
        <v>97</v>
      </c>
      <c r="H1" s="15"/>
    </row>
    <row r="2" spans="1:14" x14ac:dyDescent="0.2">
      <c r="A2" s="11" t="s">
        <v>107</v>
      </c>
    </row>
    <row r="3" spans="1:14" ht="24" customHeight="1" x14ac:dyDescent="0.2">
      <c r="A3" s="33" t="s">
        <v>52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5" spans="1:14" ht="31.5" customHeight="1" x14ac:dyDescent="0.2">
      <c r="A5" s="25" t="s">
        <v>35</v>
      </c>
      <c r="B5" s="16" t="s">
        <v>36</v>
      </c>
      <c r="C5" s="16" t="s">
        <v>37</v>
      </c>
      <c r="D5" s="16" t="s">
        <v>14</v>
      </c>
      <c r="E5" s="16" t="s">
        <v>0</v>
      </c>
      <c r="F5" s="17"/>
      <c r="G5" s="16" t="s">
        <v>7</v>
      </c>
      <c r="H5" s="16" t="s">
        <v>38</v>
      </c>
      <c r="I5" s="16" t="s">
        <v>15</v>
      </c>
      <c r="J5" s="16" t="s">
        <v>3</v>
      </c>
      <c r="K5" s="26" t="s">
        <v>1</v>
      </c>
    </row>
    <row r="6" spans="1:14" ht="12" customHeight="1" x14ac:dyDescent="0.2">
      <c r="A6" s="12" t="s">
        <v>65</v>
      </c>
      <c r="B6" s="18">
        <v>13788576.390000001</v>
      </c>
      <c r="C6" s="18"/>
      <c r="D6" s="18">
        <v>883118.1</v>
      </c>
      <c r="E6" s="18">
        <f>470448.15+1911375.54</f>
        <v>2381823.69</v>
      </c>
      <c r="F6" s="19"/>
      <c r="G6" s="18">
        <v>2438322.33</v>
      </c>
      <c r="H6" s="18">
        <v>3197772.15</v>
      </c>
      <c r="I6" s="18">
        <v>4042469.56</v>
      </c>
      <c r="J6" s="18">
        <v>2774879.31</v>
      </c>
      <c r="K6" s="23">
        <f t="shared" ref="K6:K41" si="0">SUM(B6:J6)</f>
        <v>29506961.529999994</v>
      </c>
    </row>
    <row r="7" spans="1:14" ht="12" customHeight="1" x14ac:dyDescent="0.2">
      <c r="A7" s="12" t="s">
        <v>63</v>
      </c>
      <c r="B7" s="18">
        <f>B8+B9</f>
        <v>35167983.469999999</v>
      </c>
      <c r="C7" s="18">
        <f>C8+C9</f>
        <v>42699.23</v>
      </c>
      <c r="D7" s="18">
        <f>D8+D9</f>
        <v>1049531.44</v>
      </c>
      <c r="E7" s="18">
        <f>E8+E9</f>
        <v>279009.39</v>
      </c>
      <c r="F7" s="19"/>
      <c r="G7" s="18">
        <f>G8+G9</f>
        <v>11076123.59</v>
      </c>
      <c r="H7" s="18">
        <f>H8+H9</f>
        <v>8006534.2200000007</v>
      </c>
      <c r="I7" s="18">
        <f>I8+I9</f>
        <v>9534629.6300000008</v>
      </c>
      <c r="J7" s="18">
        <f>J8+J9</f>
        <v>7475955.7400000002</v>
      </c>
      <c r="K7" s="23">
        <f t="shared" si="0"/>
        <v>72632466.709999993</v>
      </c>
    </row>
    <row r="8" spans="1:14" ht="12" customHeight="1" x14ac:dyDescent="0.2">
      <c r="A8" s="24" t="s">
        <v>66</v>
      </c>
      <c r="B8" s="18">
        <v>24955291.170000002</v>
      </c>
      <c r="C8" s="18">
        <v>42699.23</v>
      </c>
      <c r="D8" s="18">
        <v>1049531.44</v>
      </c>
      <c r="E8" s="18">
        <f>128680.65+28999.89</f>
        <v>157680.53999999998</v>
      </c>
      <c r="F8" s="19"/>
      <c r="G8" s="18">
        <v>7869678.3700000001</v>
      </c>
      <c r="H8" s="18">
        <v>6516702.9400000004</v>
      </c>
      <c r="I8" s="18">
        <v>6787739.9800000004</v>
      </c>
      <c r="J8" s="18">
        <v>5941373.4800000004</v>
      </c>
      <c r="K8" s="23">
        <f t="shared" si="0"/>
        <v>53320697.150000006</v>
      </c>
      <c r="M8" s="14"/>
    </row>
    <row r="9" spans="1:14" ht="12" customHeight="1" x14ac:dyDescent="0.2">
      <c r="A9" s="24" t="s">
        <v>67</v>
      </c>
      <c r="B9" s="18">
        <v>10212692.300000001</v>
      </c>
      <c r="C9" s="20"/>
      <c r="D9" s="18"/>
      <c r="E9" s="18">
        <v>121328.85</v>
      </c>
      <c r="F9" s="19"/>
      <c r="G9" s="18">
        <v>3206445.22</v>
      </c>
      <c r="H9" s="18">
        <v>1489831.28</v>
      </c>
      <c r="I9" s="18">
        <v>2746889.65</v>
      </c>
      <c r="J9" s="18">
        <v>1534582.26</v>
      </c>
      <c r="K9" s="23">
        <f t="shared" si="0"/>
        <v>19311769.560000002</v>
      </c>
      <c r="M9" s="28"/>
    </row>
    <row r="10" spans="1:14" ht="12" customHeight="1" x14ac:dyDescent="0.2">
      <c r="A10" s="24" t="s">
        <v>70</v>
      </c>
      <c r="B10" s="13">
        <f>SUM(B11:B12)</f>
        <v>29942485.089999996</v>
      </c>
      <c r="C10" s="13">
        <f>SUM(C11:C12)</f>
        <v>0</v>
      </c>
      <c r="D10" s="13">
        <f>SUM(D11:D12)</f>
        <v>149506.66999999998</v>
      </c>
      <c r="E10" s="13">
        <f>SUM(E11:E12)</f>
        <v>6646112.8399999999</v>
      </c>
      <c r="F10" s="19"/>
      <c r="G10" s="13">
        <f>SUM(G11:G12)</f>
        <v>7829100.96</v>
      </c>
      <c r="H10" s="13">
        <f>SUM(H11:H12)</f>
        <v>6215257.7599999998</v>
      </c>
      <c r="I10" s="13">
        <f>SUM(I11:I12)</f>
        <v>10907992.449999999</v>
      </c>
      <c r="J10" s="13">
        <f>SUM(J11:J12)</f>
        <v>7472647.8000000007</v>
      </c>
      <c r="K10" s="13">
        <f>SUM(K11:K12)</f>
        <v>69163103.569999993</v>
      </c>
    </row>
    <row r="11" spans="1:14" ht="12" customHeight="1" x14ac:dyDescent="0.2">
      <c r="A11" s="24" t="s">
        <v>68</v>
      </c>
      <c r="B11" s="18">
        <v>25282756.739999998</v>
      </c>
      <c r="C11" s="18"/>
      <c r="D11" s="18">
        <v>85269.39</v>
      </c>
      <c r="E11" s="18">
        <v>6646112.8399999999</v>
      </c>
      <c r="F11" s="19"/>
      <c r="G11" s="18">
        <v>7319748.3600000003</v>
      </c>
      <c r="H11" s="18">
        <v>5477205.2800000003</v>
      </c>
      <c r="I11" s="18">
        <v>9315483.0399999991</v>
      </c>
      <c r="J11" s="18">
        <v>6869130.9900000002</v>
      </c>
      <c r="K11" s="23">
        <f>SUM(B11:J11)</f>
        <v>60995706.640000001</v>
      </c>
    </row>
    <row r="12" spans="1:14" ht="12" customHeight="1" x14ac:dyDescent="0.2">
      <c r="A12" s="24" t="s">
        <v>69</v>
      </c>
      <c r="B12" s="18">
        <v>4659728.3499999996</v>
      </c>
      <c r="C12" s="20"/>
      <c r="D12" s="18">
        <v>64237.279999999999</v>
      </c>
      <c r="E12" s="18"/>
      <c r="F12" s="19"/>
      <c r="G12" s="18">
        <v>509352.6</v>
      </c>
      <c r="H12" s="18">
        <v>738052.48</v>
      </c>
      <c r="I12" s="18">
        <v>1592509.41</v>
      </c>
      <c r="J12" s="18">
        <v>603516.81000000006</v>
      </c>
      <c r="K12" s="23">
        <f>SUM(B12:J12)</f>
        <v>8167396.9299999997</v>
      </c>
      <c r="N12" s="14"/>
    </row>
    <row r="13" spans="1:14" ht="12" customHeight="1" x14ac:dyDescent="0.2">
      <c r="A13" s="12" t="s">
        <v>39</v>
      </c>
      <c r="B13" s="18">
        <v>15299195.5</v>
      </c>
      <c r="C13" s="20"/>
      <c r="D13" s="18">
        <v>241781.67</v>
      </c>
      <c r="E13" s="18">
        <f>471737.73+175.04</f>
        <v>471912.76999999996</v>
      </c>
      <c r="F13" s="19"/>
      <c r="G13" s="18">
        <v>4172539.59</v>
      </c>
      <c r="H13" s="18">
        <v>4182877.15</v>
      </c>
      <c r="I13" s="18">
        <v>4049244.31</v>
      </c>
      <c r="J13" s="18">
        <v>2932626.34</v>
      </c>
      <c r="K13" s="23">
        <f t="shared" si="0"/>
        <v>31350177.329999998</v>
      </c>
    </row>
    <row r="14" spans="1:14" ht="12" customHeight="1" x14ac:dyDescent="0.2">
      <c r="A14" s="12" t="s">
        <v>40</v>
      </c>
      <c r="B14" s="18">
        <v>29676155.289999999</v>
      </c>
      <c r="C14" s="20"/>
      <c r="D14" s="18">
        <v>1551335.06</v>
      </c>
      <c r="E14" s="18"/>
      <c r="F14" s="19"/>
      <c r="G14" s="18">
        <v>9182788.1099999994</v>
      </c>
      <c r="H14" s="18">
        <v>8192763.3300000001</v>
      </c>
      <c r="I14" s="18">
        <v>11532484.5</v>
      </c>
      <c r="J14" s="18">
        <v>7423476</v>
      </c>
      <c r="K14" s="23">
        <f t="shared" si="0"/>
        <v>67559002.289999992</v>
      </c>
    </row>
    <row r="15" spans="1:14" ht="12" customHeight="1" x14ac:dyDescent="0.2">
      <c r="A15" s="12" t="s">
        <v>100</v>
      </c>
      <c r="B15" s="18">
        <f>B16+B17</f>
        <v>25395627.759999998</v>
      </c>
      <c r="C15" s="18">
        <f t="shared" ref="C15:E15" si="1">C16+C17</f>
        <v>0</v>
      </c>
      <c r="D15" s="18">
        <f t="shared" si="1"/>
        <v>2745869.59</v>
      </c>
      <c r="E15" s="18">
        <f t="shared" si="1"/>
        <v>270565.71999999997</v>
      </c>
      <c r="F15" s="19"/>
      <c r="G15" s="18">
        <f>G16+G17</f>
        <v>7131893.9500000002</v>
      </c>
      <c r="H15" s="18">
        <f t="shared" ref="H15:J15" si="2">H16+H17</f>
        <v>6772208.21</v>
      </c>
      <c r="I15" s="18">
        <f t="shared" si="2"/>
        <v>7331948.1899999995</v>
      </c>
      <c r="J15" s="18">
        <f t="shared" si="2"/>
        <v>6692686.21</v>
      </c>
      <c r="K15" s="18">
        <f>K16+K17</f>
        <v>56340799.629999995</v>
      </c>
    </row>
    <row r="16" spans="1:14" ht="12" customHeight="1" x14ac:dyDescent="0.2">
      <c r="A16" s="24" t="s">
        <v>98</v>
      </c>
      <c r="B16" s="18">
        <v>12461297.949999999</v>
      </c>
      <c r="C16" s="20"/>
      <c r="D16" s="18">
        <v>2563217.09</v>
      </c>
      <c r="E16" s="18">
        <v>268249.99</v>
      </c>
      <c r="F16" s="19"/>
      <c r="G16" s="18">
        <v>3093502.35</v>
      </c>
      <c r="H16" s="18">
        <v>2784606.45</v>
      </c>
      <c r="I16" s="18">
        <v>4425748.58</v>
      </c>
      <c r="J16" s="18">
        <v>3576224.68</v>
      </c>
      <c r="K16" s="23">
        <f t="shared" si="0"/>
        <v>29172847.089999996</v>
      </c>
    </row>
    <row r="17" spans="1:12" ht="12" customHeight="1" x14ac:dyDescent="0.2">
      <c r="A17" s="24" t="s">
        <v>99</v>
      </c>
      <c r="B17" s="18">
        <v>12934329.810000001</v>
      </c>
      <c r="C17" s="20"/>
      <c r="D17" s="18">
        <v>182652.5</v>
      </c>
      <c r="E17" s="18">
        <v>2315.73</v>
      </c>
      <c r="F17" s="19"/>
      <c r="G17" s="18">
        <v>4038391.6</v>
      </c>
      <c r="H17" s="18">
        <v>3987601.76</v>
      </c>
      <c r="I17" s="18">
        <v>2906199.61</v>
      </c>
      <c r="J17" s="18">
        <v>3116461.53</v>
      </c>
      <c r="K17" s="23">
        <f>SUM(B17:J17)</f>
        <v>27167952.539999999</v>
      </c>
    </row>
    <row r="18" spans="1:12" ht="12" customHeight="1" x14ac:dyDescent="0.2">
      <c r="A18" s="24" t="s">
        <v>71</v>
      </c>
      <c r="B18" s="18">
        <v>5473376.21</v>
      </c>
      <c r="C18" s="18"/>
      <c r="D18" s="18"/>
      <c r="E18" s="20"/>
      <c r="F18" s="19"/>
      <c r="G18" s="18">
        <v>1964116.17</v>
      </c>
      <c r="H18" s="18">
        <v>1007617.68</v>
      </c>
      <c r="I18" s="18">
        <v>2528097.19</v>
      </c>
      <c r="J18" s="18">
        <v>941744</v>
      </c>
      <c r="K18" s="23">
        <f t="shared" si="0"/>
        <v>11914951.25</v>
      </c>
    </row>
    <row r="19" spans="1:12" ht="12" customHeight="1" x14ac:dyDescent="0.2">
      <c r="A19" s="24" t="s">
        <v>72</v>
      </c>
      <c r="B19" s="18">
        <v>19359879.670000002</v>
      </c>
      <c r="C19" s="18"/>
      <c r="D19" s="18">
        <v>1578949.54</v>
      </c>
      <c r="E19" s="18"/>
      <c r="F19" s="19"/>
      <c r="G19" s="18">
        <v>6182357.8300000001</v>
      </c>
      <c r="H19" s="18">
        <v>5896086</v>
      </c>
      <c r="I19" s="18">
        <v>7186926.0599999996</v>
      </c>
      <c r="J19" s="18">
        <v>5459811.75</v>
      </c>
      <c r="K19" s="23">
        <f t="shared" si="0"/>
        <v>45664010.850000001</v>
      </c>
    </row>
    <row r="20" spans="1:12" ht="12" customHeight="1" x14ac:dyDescent="0.2">
      <c r="A20" s="12" t="s">
        <v>41</v>
      </c>
      <c r="B20" s="18">
        <v>18001049.530000001</v>
      </c>
      <c r="C20" s="18"/>
      <c r="D20" s="18">
        <v>3091303.47</v>
      </c>
      <c r="E20" s="18"/>
      <c r="F20" s="19"/>
      <c r="G20" s="18">
        <v>3170306.96</v>
      </c>
      <c r="H20" s="18">
        <v>3265500</v>
      </c>
      <c r="I20" s="18">
        <v>5825416.6600000001</v>
      </c>
      <c r="J20" s="18">
        <v>4632836.2</v>
      </c>
      <c r="K20" s="23">
        <f t="shared" si="0"/>
        <v>37986412.82</v>
      </c>
    </row>
    <row r="21" spans="1:12" ht="12" customHeight="1" x14ac:dyDescent="0.2">
      <c r="A21" s="24" t="s">
        <v>73</v>
      </c>
      <c r="B21" s="18">
        <v>32191117.359999999</v>
      </c>
      <c r="C21" s="18">
        <v>472672.81</v>
      </c>
      <c r="D21" s="18">
        <v>127203.7</v>
      </c>
      <c r="E21" s="18"/>
      <c r="F21" s="19"/>
      <c r="G21" s="18">
        <v>23794869.66</v>
      </c>
      <c r="H21" s="18">
        <v>5927107.0499999998</v>
      </c>
      <c r="I21" s="18">
        <v>16965625.829999998</v>
      </c>
      <c r="J21" s="18">
        <v>6638243.2999999998</v>
      </c>
      <c r="K21" s="23">
        <f t="shared" si="0"/>
        <v>86116839.709999993</v>
      </c>
    </row>
    <row r="22" spans="1:12" ht="12" customHeight="1" x14ac:dyDescent="0.2">
      <c r="A22" s="24" t="s">
        <v>74</v>
      </c>
      <c r="B22" s="18">
        <v>22245928.129999999</v>
      </c>
      <c r="C22" s="20"/>
      <c r="D22" s="18">
        <v>1058323.8500000001</v>
      </c>
      <c r="E22" s="18"/>
      <c r="F22" s="19"/>
      <c r="G22" s="18">
        <v>8152297.6900000004</v>
      </c>
      <c r="H22" s="18">
        <v>7105993.6100000003</v>
      </c>
      <c r="I22" s="18">
        <v>8923352.4700000007</v>
      </c>
      <c r="J22" s="18">
        <v>6876515.9800000004</v>
      </c>
      <c r="K22" s="23">
        <f t="shared" si="0"/>
        <v>54362411.730000004</v>
      </c>
    </row>
    <row r="23" spans="1:12" ht="12" customHeight="1" x14ac:dyDescent="0.2">
      <c r="A23" s="24" t="s">
        <v>75</v>
      </c>
      <c r="B23" s="18">
        <v>8436021.0299999993</v>
      </c>
      <c r="C23" s="18"/>
      <c r="D23" s="18">
        <v>602493.80000000005</v>
      </c>
      <c r="E23" s="18">
        <v>23633.09</v>
      </c>
      <c r="F23" s="19"/>
      <c r="G23" s="18">
        <v>2446319.9500000002</v>
      </c>
      <c r="H23" s="18">
        <v>2079267.67</v>
      </c>
      <c r="I23" s="29">
        <v>3306876.94</v>
      </c>
      <c r="J23" s="29">
        <v>1527100.17</v>
      </c>
      <c r="K23" s="30">
        <f t="shared" si="0"/>
        <v>18421712.649999999</v>
      </c>
      <c r="L23" s="31"/>
    </row>
    <row r="24" spans="1:12" ht="12" customHeight="1" x14ac:dyDescent="0.2">
      <c r="A24" s="24" t="s">
        <v>76</v>
      </c>
      <c r="B24" s="18">
        <v>20059517.829999998</v>
      </c>
      <c r="C24" s="20">
        <v>389809.3</v>
      </c>
      <c r="D24" s="18">
        <v>2369333.6</v>
      </c>
      <c r="E24" s="18">
        <v>25860.14</v>
      </c>
      <c r="F24" s="19"/>
      <c r="G24" s="18">
        <v>4974268.91</v>
      </c>
      <c r="H24" s="18">
        <v>7203269.5</v>
      </c>
      <c r="I24" s="29">
        <v>8230687.4100000001</v>
      </c>
      <c r="J24" s="29">
        <v>4251390.53</v>
      </c>
      <c r="K24" s="30">
        <f t="shared" si="0"/>
        <v>47504137.219999999</v>
      </c>
      <c r="L24" s="31"/>
    </row>
    <row r="25" spans="1:12" ht="12" customHeight="1" x14ac:dyDescent="0.2">
      <c r="A25" s="12" t="s">
        <v>42</v>
      </c>
      <c r="B25" s="18">
        <v>29713698.23</v>
      </c>
      <c r="C25" s="18">
        <v>1746.32</v>
      </c>
      <c r="D25" s="18">
        <v>745340.57</v>
      </c>
      <c r="E25" s="18">
        <v>3805003.38</v>
      </c>
      <c r="F25" s="19"/>
      <c r="G25" s="18">
        <v>13149748.83</v>
      </c>
      <c r="H25" s="18">
        <v>9568854.6699999999</v>
      </c>
      <c r="I25" s="29">
        <v>9846732.1199999992</v>
      </c>
      <c r="J25" s="29">
        <v>8122611.0999999996</v>
      </c>
      <c r="K25" s="30">
        <f>SUM(B25:J25)</f>
        <v>74953735.219999999</v>
      </c>
      <c r="L25" s="31"/>
    </row>
    <row r="26" spans="1:12" ht="12" customHeight="1" x14ac:dyDescent="0.2">
      <c r="A26" s="12" t="s">
        <v>43</v>
      </c>
      <c r="B26" s="18">
        <v>102273223.61</v>
      </c>
      <c r="C26" s="18">
        <v>1606873.39</v>
      </c>
      <c r="D26" s="18">
        <v>2386389.58</v>
      </c>
      <c r="E26" s="18">
        <f>8472675.93+1108334.46</f>
        <v>9581010.3900000006</v>
      </c>
      <c r="F26" s="19"/>
      <c r="G26" s="18">
        <v>36694242.219999999</v>
      </c>
      <c r="H26" s="18">
        <v>24616745.239999998</v>
      </c>
      <c r="I26" s="29">
        <v>27329817.359999999</v>
      </c>
      <c r="J26" s="29">
        <v>18491790.09</v>
      </c>
      <c r="K26" s="30">
        <f t="shared" si="0"/>
        <v>222980091.88000003</v>
      </c>
      <c r="L26" s="31"/>
    </row>
    <row r="27" spans="1:12" ht="12" customHeight="1" x14ac:dyDescent="0.2">
      <c r="A27" s="12" t="s">
        <v>44</v>
      </c>
      <c r="B27" s="18">
        <v>12485257.9</v>
      </c>
      <c r="C27" s="18">
        <v>46248.17</v>
      </c>
      <c r="D27" s="18">
        <v>1319937.8899999999</v>
      </c>
      <c r="E27" s="18">
        <v>373676.51</v>
      </c>
      <c r="F27" s="19"/>
      <c r="G27" s="18">
        <v>2602169.2200000002</v>
      </c>
      <c r="H27" s="18">
        <v>3904837.33</v>
      </c>
      <c r="I27" s="29">
        <v>3856030.27</v>
      </c>
      <c r="J27" s="29">
        <v>2722578.01</v>
      </c>
      <c r="K27" s="30">
        <f t="shared" si="0"/>
        <v>27310735.300000004</v>
      </c>
      <c r="L27" s="31"/>
    </row>
    <row r="28" spans="1:12" x14ac:dyDescent="0.2">
      <c r="A28" s="24" t="s">
        <v>77</v>
      </c>
      <c r="B28" s="18">
        <v>29659984.239999998</v>
      </c>
      <c r="C28" s="20">
        <v>109665.82</v>
      </c>
      <c r="D28" s="18">
        <v>570304.03</v>
      </c>
      <c r="E28" s="18"/>
      <c r="F28" s="19"/>
      <c r="G28" s="18">
        <v>14482040.66</v>
      </c>
      <c r="H28" s="18">
        <v>8302985.1299999999</v>
      </c>
      <c r="I28" s="29">
        <v>10939206.880000001</v>
      </c>
      <c r="J28" s="29">
        <v>6731908.3499999996</v>
      </c>
      <c r="K28" s="30">
        <f t="shared" si="0"/>
        <v>70796095.109999999</v>
      </c>
      <c r="L28" s="31"/>
    </row>
    <row r="29" spans="1:12" ht="12" customHeight="1" x14ac:dyDescent="0.2">
      <c r="A29" s="24" t="s">
        <v>78</v>
      </c>
      <c r="B29" s="18">
        <v>16947332.890000001</v>
      </c>
      <c r="C29" s="18"/>
      <c r="D29" s="18"/>
      <c r="E29" s="20"/>
      <c r="F29" s="19"/>
      <c r="G29" s="18">
        <v>7331206.7599999998</v>
      </c>
      <c r="H29" s="18">
        <v>5977362.54</v>
      </c>
      <c r="I29" s="29">
        <v>5532001.5499999998</v>
      </c>
      <c r="J29" s="29">
        <v>4045177.42</v>
      </c>
      <c r="K29" s="30">
        <f t="shared" si="0"/>
        <v>39833081.159999996</v>
      </c>
      <c r="L29" s="31"/>
    </row>
    <row r="30" spans="1:12" ht="12" customHeight="1" x14ac:dyDescent="0.2">
      <c r="A30" s="12" t="s">
        <v>102</v>
      </c>
      <c r="B30" s="21">
        <v>15706132.98</v>
      </c>
      <c r="C30" s="21"/>
      <c r="D30" s="21">
        <v>1402178.14</v>
      </c>
      <c r="E30" s="21">
        <f>1891554.34+746438.93</f>
        <v>2637993.27</v>
      </c>
      <c r="G30" s="21">
        <v>2503138.67</v>
      </c>
      <c r="H30" s="21">
        <v>5068435.75</v>
      </c>
      <c r="I30" s="32">
        <v>8614736.2699999996</v>
      </c>
      <c r="J30" s="32">
        <v>5470181.6900000004</v>
      </c>
      <c r="K30" s="30">
        <f t="shared" si="0"/>
        <v>41402796.769999996</v>
      </c>
      <c r="L30" s="31"/>
    </row>
    <row r="31" spans="1:12" ht="12" customHeight="1" x14ac:dyDescent="0.2">
      <c r="A31" s="24" t="s">
        <v>79</v>
      </c>
      <c r="B31" s="18">
        <v>11936044.66</v>
      </c>
      <c r="C31" s="18">
        <v>7640.61</v>
      </c>
      <c r="D31" s="18">
        <v>208335.47</v>
      </c>
      <c r="E31" s="18">
        <v>269803.58</v>
      </c>
      <c r="F31" s="19"/>
      <c r="G31" s="18">
        <v>3654787.52</v>
      </c>
      <c r="H31" s="18">
        <v>3325672.19</v>
      </c>
      <c r="I31" s="29">
        <v>3198781.22</v>
      </c>
      <c r="J31" s="29">
        <v>2609805.7200000002</v>
      </c>
      <c r="K31" s="30">
        <f t="shared" si="0"/>
        <v>25210870.969999999</v>
      </c>
      <c r="L31" s="31"/>
    </row>
    <row r="32" spans="1:12" ht="12" customHeight="1" x14ac:dyDescent="0.2">
      <c r="A32" s="24" t="s">
        <v>80</v>
      </c>
      <c r="B32" s="18">
        <v>4664075.93</v>
      </c>
      <c r="C32" s="20"/>
      <c r="D32" s="18">
        <v>573484.11</v>
      </c>
      <c r="E32" s="18"/>
      <c r="F32" s="19"/>
      <c r="G32" s="18">
        <v>1185958.04</v>
      </c>
      <c r="H32" s="18">
        <v>1792406.86</v>
      </c>
      <c r="I32" s="29">
        <v>2030446.34</v>
      </c>
      <c r="J32" s="29">
        <v>1328108.3899999999</v>
      </c>
      <c r="K32" s="30">
        <f t="shared" si="0"/>
        <v>11574479.670000002</v>
      </c>
      <c r="L32" s="31"/>
    </row>
    <row r="33" spans="1:12" ht="12" customHeight="1" x14ac:dyDescent="0.2">
      <c r="A33" s="24" t="s">
        <v>45</v>
      </c>
      <c r="B33" s="18">
        <v>16575471.390000001</v>
      </c>
      <c r="C33" s="20"/>
      <c r="D33" s="18">
        <v>2256739.7999999998</v>
      </c>
      <c r="E33" s="18">
        <v>3320.31</v>
      </c>
      <c r="F33" s="19"/>
      <c r="G33" s="18">
        <v>3127850.56</v>
      </c>
      <c r="H33" s="18">
        <v>4723572.57</v>
      </c>
      <c r="I33" s="29">
        <v>4787149.24</v>
      </c>
      <c r="J33" s="29">
        <v>3473450.27</v>
      </c>
      <c r="K33" s="30">
        <f t="shared" si="0"/>
        <v>34947554.140000001</v>
      </c>
      <c r="L33" s="31"/>
    </row>
    <row r="34" spans="1:12" ht="12" customHeight="1" x14ac:dyDescent="0.2">
      <c r="A34" s="24" t="s">
        <v>81</v>
      </c>
      <c r="B34" s="18">
        <v>12307494.789999999</v>
      </c>
      <c r="C34" s="20"/>
      <c r="D34" s="18">
        <v>785694.79</v>
      </c>
      <c r="E34" s="18">
        <v>127183.48</v>
      </c>
      <c r="F34" s="19"/>
      <c r="G34" s="18">
        <v>3651408.68</v>
      </c>
      <c r="H34" s="18">
        <v>4441703.71</v>
      </c>
      <c r="I34" s="29">
        <v>5001111.01</v>
      </c>
      <c r="J34" s="29">
        <v>2975395.76</v>
      </c>
      <c r="K34" s="30">
        <f t="shared" si="0"/>
        <v>29289992.219999999</v>
      </c>
      <c r="L34" s="31"/>
    </row>
    <row r="35" spans="1:12" ht="12" customHeight="1" x14ac:dyDescent="0.2">
      <c r="A35" s="24" t="s">
        <v>82</v>
      </c>
      <c r="B35" s="18">
        <v>18833789.710000001</v>
      </c>
      <c r="C35" s="20"/>
      <c r="D35" s="18">
        <v>238267.86</v>
      </c>
      <c r="E35" s="18">
        <v>224561.86</v>
      </c>
      <c r="F35" s="19"/>
      <c r="G35" s="18">
        <v>7162133.54</v>
      </c>
      <c r="H35" s="18">
        <v>4046275.62</v>
      </c>
      <c r="I35" s="29">
        <v>5336182.3099999996</v>
      </c>
      <c r="J35" s="29">
        <v>4766911.13</v>
      </c>
      <c r="K35" s="30">
        <f t="shared" si="0"/>
        <v>40608122.030000001</v>
      </c>
      <c r="L35" s="31"/>
    </row>
    <row r="36" spans="1:12" ht="12" customHeight="1" x14ac:dyDescent="0.2">
      <c r="A36" s="24" t="s">
        <v>47</v>
      </c>
      <c r="B36" s="18">
        <v>21533412.440000001</v>
      </c>
      <c r="C36" s="18"/>
      <c r="D36" s="18">
        <v>1676883.62</v>
      </c>
      <c r="E36" s="18"/>
      <c r="F36" s="19"/>
      <c r="G36" s="18">
        <v>6504631.1699999999</v>
      </c>
      <c r="H36" s="18">
        <v>8424359.5999999996</v>
      </c>
      <c r="I36" s="29">
        <v>6290357.29</v>
      </c>
      <c r="J36" s="29">
        <v>5380647.1500000004</v>
      </c>
      <c r="K36" s="30">
        <f t="shared" si="0"/>
        <v>49810291.270000003</v>
      </c>
      <c r="L36" s="31"/>
    </row>
    <row r="37" spans="1:12" ht="12" customHeight="1" x14ac:dyDescent="0.2">
      <c r="A37" s="24" t="s">
        <v>61</v>
      </c>
      <c r="B37" s="18">
        <v>13259285.449999999</v>
      </c>
      <c r="C37" s="20"/>
      <c r="D37" s="18">
        <v>1675172.5</v>
      </c>
      <c r="E37" s="18">
        <v>166713.04</v>
      </c>
      <c r="F37" s="19"/>
      <c r="G37" s="18">
        <v>3565463.7</v>
      </c>
      <c r="H37" s="18">
        <v>4373590.3099999996</v>
      </c>
      <c r="I37" s="29">
        <v>4969862.2699999996</v>
      </c>
      <c r="J37" s="29">
        <v>2565736.4300000002</v>
      </c>
      <c r="K37" s="30">
        <f t="shared" si="0"/>
        <v>30575823.699999996</v>
      </c>
      <c r="L37" s="31"/>
    </row>
    <row r="38" spans="1:12" ht="12" customHeight="1" x14ac:dyDescent="0.2">
      <c r="A38" s="24" t="s">
        <v>83</v>
      </c>
      <c r="B38" s="18">
        <v>19000628.5</v>
      </c>
      <c r="C38" s="18">
        <v>71317.19</v>
      </c>
      <c r="D38" s="18">
        <v>87372.88</v>
      </c>
      <c r="E38" s="18">
        <v>4022582.34</v>
      </c>
      <c r="F38" s="19"/>
      <c r="G38" s="18">
        <v>6290794.0300000003</v>
      </c>
      <c r="H38" s="18">
        <v>7525611.21</v>
      </c>
      <c r="I38" s="29">
        <v>7413077.2400000002</v>
      </c>
      <c r="J38" s="29">
        <v>4463357.79</v>
      </c>
      <c r="K38" s="30">
        <f t="shared" si="0"/>
        <v>48874741.18</v>
      </c>
      <c r="L38" s="31"/>
    </row>
    <row r="39" spans="1:12" ht="12" customHeight="1" x14ac:dyDescent="0.2">
      <c r="A39" s="24" t="s">
        <v>84</v>
      </c>
      <c r="B39" s="18">
        <v>59405727.950000003</v>
      </c>
      <c r="C39" s="18">
        <v>1039231.69</v>
      </c>
      <c r="D39" s="18">
        <v>2568793.39</v>
      </c>
      <c r="E39" s="18">
        <v>5412174.5499999998</v>
      </c>
      <c r="F39" s="19"/>
      <c r="G39" s="18">
        <v>21848140.670000002</v>
      </c>
      <c r="H39" s="18">
        <v>13252478.689999999</v>
      </c>
      <c r="I39" s="29">
        <v>28259293.100000001</v>
      </c>
      <c r="J39" s="29">
        <v>14758885.52</v>
      </c>
      <c r="K39" s="30">
        <f t="shared" si="0"/>
        <v>146544725.56</v>
      </c>
      <c r="L39" s="31"/>
    </row>
    <row r="40" spans="1:12" ht="12" customHeight="1" x14ac:dyDescent="0.2">
      <c r="A40" s="24" t="s">
        <v>85</v>
      </c>
      <c r="B40" s="18">
        <v>17674211.109999999</v>
      </c>
      <c r="C40" s="20"/>
      <c r="D40" s="18">
        <v>880219.17</v>
      </c>
      <c r="E40" s="18"/>
      <c r="F40" s="19"/>
      <c r="G40" s="18">
        <v>3872612.21</v>
      </c>
      <c r="H40" s="18">
        <v>4235490.62</v>
      </c>
      <c r="I40" s="29">
        <v>5458759.6100000003</v>
      </c>
      <c r="J40" s="29">
        <v>3202724.99</v>
      </c>
      <c r="K40" s="30">
        <f t="shared" si="0"/>
        <v>35324017.710000001</v>
      </c>
      <c r="L40" s="31"/>
    </row>
    <row r="41" spans="1:12" ht="12" customHeight="1" x14ac:dyDescent="0.2">
      <c r="A41" s="24" t="s">
        <v>86</v>
      </c>
      <c r="B41" s="18">
        <v>50079105.649999999</v>
      </c>
      <c r="C41" s="18">
        <v>58451.199999999997</v>
      </c>
      <c r="D41" s="18">
        <v>224346.69</v>
      </c>
      <c r="E41" s="18">
        <v>3425266.15</v>
      </c>
      <c r="F41" s="19"/>
      <c r="G41" s="18">
        <v>14281720.789999999</v>
      </c>
      <c r="H41" s="18">
        <v>7062930.3499999996</v>
      </c>
      <c r="I41" s="18">
        <v>17372207.960000001</v>
      </c>
      <c r="J41" s="18">
        <v>10089867.51</v>
      </c>
      <c r="K41" s="23">
        <f t="shared" si="0"/>
        <v>102593896.3</v>
      </c>
    </row>
    <row r="43" spans="1:12" hidden="1" x14ac:dyDescent="0.2">
      <c r="A43" s="10" t="s">
        <v>46</v>
      </c>
      <c r="B43" s="14">
        <f>SUM(B6:B42)-B7-B10-B15</f>
        <v>727091790.68999994</v>
      </c>
      <c r="C43" s="14">
        <f>SUM(C6:C42)-C7-C10-C15</f>
        <v>3846355.7299999995</v>
      </c>
      <c r="D43" s="14">
        <f>SUM(D6:D42)-D7-D10-D15</f>
        <v>33048210.98</v>
      </c>
      <c r="E43" s="14">
        <f>SUM(E6:E42)-E7-E10-E15</f>
        <v>40148206.5</v>
      </c>
      <c r="G43" s="14">
        <f>SUM(G6:G42)-G7-G10-G15</f>
        <v>244423352.96999997</v>
      </c>
      <c r="H43" s="14">
        <f>SUM(H6:H42)-H7-H10-H15</f>
        <v>189695566.72</v>
      </c>
      <c r="I43" s="14">
        <f>SUM(I6:I42)-I7-I10-I15</f>
        <v>256601503.24000007</v>
      </c>
      <c r="J43" s="14">
        <f>SUM(J6:J42)-J7-J10-J15</f>
        <v>166299050.64999998</v>
      </c>
      <c r="K43" s="14">
        <f>SUM(K6:K42)-K7-K10-K15</f>
        <v>1661154037.4800005</v>
      </c>
    </row>
    <row r="45" spans="1:12" x14ac:dyDescent="0.2">
      <c r="A45" s="27" t="s">
        <v>104</v>
      </c>
    </row>
    <row r="46" spans="1:12" x14ac:dyDescent="0.2">
      <c r="A46" s="27"/>
    </row>
  </sheetData>
  <mergeCells count="1">
    <mergeCell ref="A3:K3"/>
  </mergeCells>
  <phoneticPr fontId="0" type="noConversion"/>
  <pageMargins left="0.36" right="0.11" top="0.45" bottom="0.17" header="0.19" footer="0.17"/>
  <pageSetup scale="8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pageSetUpPr fitToPage="1"/>
  </sheetPr>
  <dimension ref="A1:K30"/>
  <sheetViews>
    <sheetView zoomScale="75" workbookViewId="0">
      <selection activeCell="A29" sqref="A29:B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10" width="10.28515625" style="1" customWidth="1"/>
    <col min="11" max="11" width="10.7109375" style="1" customWidth="1"/>
  </cols>
  <sheetData>
    <row r="1" spans="1:11" ht="15.75" x14ac:dyDescent="0.25">
      <c r="A1" s="4" t="str">
        <f>+System!$A$1</f>
        <v>MINNESOTA STATE - F.Y. 2024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20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Table'!B13</f>
        <v>15299195.5</v>
      </c>
      <c r="C9" s="1">
        <f>'Master Expend Table'!C13</f>
        <v>0</v>
      </c>
      <c r="D9" s="1">
        <f>'Master Expend Table'!D13</f>
        <v>241781.67</v>
      </c>
      <c r="E9" s="1">
        <f>'Master Expend Table'!E13</f>
        <v>471912.76999999996</v>
      </c>
      <c r="G9" s="1">
        <f>'Master Expend Table'!G13</f>
        <v>4172539.59</v>
      </c>
      <c r="H9" s="1">
        <f>'Master Expend Table'!H13</f>
        <v>4182877.15</v>
      </c>
      <c r="I9" s="1">
        <f>'Master Expend Table'!I13</f>
        <v>4049244.31</v>
      </c>
      <c r="J9" s="1">
        <f>'Master Expend Table'!J13</f>
        <v>2932626.34</v>
      </c>
      <c r="K9" s="1">
        <f>SUM(B9:J9)</f>
        <v>31350177.329999998</v>
      </c>
    </row>
    <row r="11" spans="1:11" x14ac:dyDescent="0.2">
      <c r="A11" t="s">
        <v>3</v>
      </c>
      <c r="B11" s="1">
        <f>(B9/($K9-$J9))*-$J$11</f>
        <v>1578842.0233642894</v>
      </c>
      <c r="C11" s="1">
        <f t="shared" ref="C11:I11" si="0">(C9/($K9-$J9))*-$J$11</f>
        <v>0</v>
      </c>
      <c r="D11" s="1">
        <f t="shared" si="0"/>
        <v>24951.315974437806</v>
      </c>
      <c r="E11" s="1">
        <f t="shared" si="0"/>
        <v>48700.319741534549</v>
      </c>
      <c r="G11" s="1">
        <f t="shared" si="0"/>
        <v>430596.55318759754</v>
      </c>
      <c r="H11" s="1">
        <f t="shared" si="0"/>
        <v>431663.36576261494</v>
      </c>
      <c r="I11" s="1">
        <f t="shared" si="0"/>
        <v>417872.76196952554</v>
      </c>
      <c r="J11" s="1">
        <f>-J9</f>
        <v>-2932626.34</v>
      </c>
      <c r="K11" s="1">
        <v>0</v>
      </c>
    </row>
    <row r="12" spans="1:11" x14ac:dyDescent="0.2">
      <c r="A12" t="s">
        <v>4</v>
      </c>
      <c r="B12" s="1">
        <f>+B9+B11</f>
        <v>16878037.523364291</v>
      </c>
      <c r="C12" s="1">
        <f t="shared" ref="C12:J12" si="1">+C9+C11</f>
        <v>0</v>
      </c>
      <c r="D12" s="1">
        <f t="shared" si="1"/>
        <v>266732.98597443779</v>
      </c>
      <c r="E12" s="1">
        <f t="shared" si="1"/>
        <v>520613.0897415345</v>
      </c>
      <c r="G12" s="1">
        <f t="shared" si="1"/>
        <v>4603136.1431875974</v>
      </c>
      <c r="H12" s="1">
        <f t="shared" si="1"/>
        <v>4614540.515762615</v>
      </c>
      <c r="I12" s="1">
        <f t="shared" si="1"/>
        <v>4467117.0719695259</v>
      </c>
      <c r="J12" s="1">
        <f t="shared" si="1"/>
        <v>0</v>
      </c>
      <c r="K12" s="1">
        <f>SUM(B12:J12)</f>
        <v>31350177.330000006</v>
      </c>
    </row>
    <row r="14" spans="1:11" x14ac:dyDescent="0.2">
      <c r="A14" t="s">
        <v>5</v>
      </c>
      <c r="B14" s="1">
        <f>B$9/($K$9-$J$9-$I$9)*-I14</f>
        <v>2804597.7220707466</v>
      </c>
      <c r="C14" s="1">
        <f t="shared" ref="C14:H14" si="2">C$9/($K$9-$J$9-$I$9)*-$I$14</f>
        <v>0</v>
      </c>
      <c r="D14" s="1">
        <f t="shared" si="2"/>
        <v>44322.612971411523</v>
      </c>
      <c r="E14" s="1">
        <f t="shared" si="2"/>
        <v>86509.482133102749</v>
      </c>
      <c r="G14" s="1">
        <f t="shared" si="2"/>
        <v>764896.10380911897</v>
      </c>
      <c r="H14" s="1">
        <f t="shared" si="2"/>
        <v>766791.15098514652</v>
      </c>
      <c r="I14" s="1">
        <f>-I12</f>
        <v>-4467117.0719695259</v>
      </c>
      <c r="K14" s="1">
        <v>0</v>
      </c>
    </row>
    <row r="15" spans="1:11" x14ac:dyDescent="0.2">
      <c r="A15" t="s">
        <v>4</v>
      </c>
      <c r="B15" s="1">
        <f>+B12+B14</f>
        <v>19682635.245435037</v>
      </c>
      <c r="C15" s="1">
        <f>+C12+C14</f>
        <v>0</v>
      </c>
      <c r="D15" s="1">
        <f>+D12+D14</f>
        <v>311055.59894584934</v>
      </c>
      <c r="E15" s="1">
        <f>+E12+E14</f>
        <v>607122.57187463727</v>
      </c>
      <c r="G15" s="1">
        <f>+G12+G14</f>
        <v>5368032.2469967166</v>
      </c>
      <c r="H15" s="1">
        <f>+H12+H14</f>
        <v>5381331.6667477619</v>
      </c>
      <c r="I15" s="1">
        <f>+I12+I14</f>
        <v>0</v>
      </c>
      <c r="J15" s="1">
        <f>+J12+J14</f>
        <v>0</v>
      </c>
      <c r="K15" s="1">
        <f>SUM(B15:J15)</f>
        <v>31350177.329999998</v>
      </c>
    </row>
    <row r="17" spans="1:11" x14ac:dyDescent="0.2">
      <c r="A17" t="s">
        <v>6</v>
      </c>
      <c r="B17" s="1">
        <f>B$9/($K$9-$J$9-$I$9-$H$9)*-$H$17</f>
        <v>4078686.8120668051</v>
      </c>
      <c r="C17" s="1">
        <f>C$9/($K$9-$J$9-$I$9-$H$9)*-$H$17</f>
        <v>0</v>
      </c>
      <c r="D17" s="1">
        <f>D$9/($K$9-$J$9-$I$9-$H$9)*-$H$17</f>
        <v>64457.749352146544</v>
      </c>
      <c r="E17" s="1">
        <f>E$9/($K$9-$J$9-$I$9-$H$9)*-$H$17</f>
        <v>125809.51667980944</v>
      </c>
      <c r="G17" s="1">
        <f>G$9/($K$9-$J$9-$I$9-$H$9)*-$H$17</f>
        <v>1112377.588649</v>
      </c>
      <c r="H17" s="1">
        <f>-H15</f>
        <v>-5381331.6667477619</v>
      </c>
      <c r="K17" s="1">
        <v>0</v>
      </c>
    </row>
    <row r="18" spans="1:11" x14ac:dyDescent="0.2">
      <c r="A18" t="s">
        <v>4</v>
      </c>
      <c r="B18" s="1">
        <f>+B15+B17</f>
        <v>23761322.057501841</v>
      </c>
      <c r="C18" s="1">
        <f>+C15+C17</f>
        <v>0</v>
      </c>
      <c r="D18" s="1">
        <f>+D15+D17</f>
        <v>375513.34829799586</v>
      </c>
      <c r="E18" s="1">
        <f>+E15+E17</f>
        <v>732932.0885544467</v>
      </c>
      <c r="G18" s="1">
        <f>+G15+G17</f>
        <v>6480409.8356457166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31350177.329999998</v>
      </c>
    </row>
    <row r="20" spans="1:11" x14ac:dyDescent="0.2">
      <c r="A20" t="s">
        <v>7</v>
      </c>
      <c r="B20" s="1">
        <f>B$9/($K$9-$J$9-$I$9-$H$9-$G$9)*-$G$20</f>
        <v>6191577.9954250213</v>
      </c>
      <c r="C20" s="1">
        <f>C$9/($K$9-$J$9-$I$9-$H$9-$G$9)*-$G$20</f>
        <v>0</v>
      </c>
      <c r="D20" s="1">
        <f>D$9/($K$9-$J$9-$I$9-$H$9-$G$9)*-$G$20</f>
        <v>97848.940336053216</v>
      </c>
      <c r="E20" s="1">
        <f>E$9/($K$9-$J$9-$I$9-$H$9-$G$9)*-$G$20</f>
        <v>190982.89988464222</v>
      </c>
      <c r="G20" s="1">
        <f>-G18</f>
        <v>-6480409.8356457166</v>
      </c>
      <c r="K20" s="1">
        <f>SUM(B20:J20)</f>
        <v>0</v>
      </c>
    </row>
    <row r="22" spans="1:11" x14ac:dyDescent="0.2">
      <c r="A22" t="s">
        <v>8</v>
      </c>
      <c r="B22" s="1">
        <f>+B20+B18</f>
        <v>29952900.052926861</v>
      </c>
      <c r="C22" s="1">
        <f t="shared" ref="C22:K22" si="3">+C20+C18</f>
        <v>0</v>
      </c>
      <c r="D22" s="1">
        <f t="shared" si="3"/>
        <v>473362.28863404907</v>
      </c>
      <c r="E22" s="1">
        <f t="shared" si="3"/>
        <v>923914.98843908892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31350177.329999998</v>
      </c>
    </row>
    <row r="27" spans="1:11" x14ac:dyDescent="0.2">
      <c r="A27" t="s">
        <v>9</v>
      </c>
      <c r="B27" s="1">
        <f>+B9</f>
        <v>15299195.5</v>
      </c>
    </row>
    <row r="28" spans="1:11" x14ac:dyDescent="0.2">
      <c r="A28" t="s">
        <v>10</v>
      </c>
      <c r="B28" s="1">
        <f>+B22-B27</f>
        <v>14653704.552926861</v>
      </c>
    </row>
    <row r="29" spans="1:11" x14ac:dyDescent="0.2">
      <c r="A29" s="22" t="s">
        <v>106</v>
      </c>
      <c r="B29" s="1">
        <v>2537</v>
      </c>
    </row>
    <row r="30" spans="1:11" x14ac:dyDescent="0.2">
      <c r="A30" t="s">
        <v>11</v>
      </c>
      <c r="B30" s="1">
        <f>+B28/B29</f>
        <v>5775.9970646144502</v>
      </c>
    </row>
  </sheetData>
  <phoneticPr fontId="0" type="noConversion"/>
  <pageMargins left="0.46" right="0.55000000000000004" top="1" bottom="0.48" header="0.5" footer="0.5"/>
  <pageSetup orientation="landscape" horizontalDpi="4294967294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pageSetUpPr fitToPage="1"/>
  </sheetPr>
  <dimension ref="A1:K30"/>
  <sheetViews>
    <sheetView zoomScale="80" workbookViewId="0">
      <selection activeCell="A29" sqref="A29:B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2.140625" style="1" customWidth="1"/>
    <col min="8" max="10" width="10.28515625" style="1" customWidth="1"/>
    <col min="11" max="11" width="10.7109375" style="1" customWidth="1"/>
  </cols>
  <sheetData>
    <row r="1" spans="1:11" ht="15.75" x14ac:dyDescent="0.25">
      <c r="A1" s="4" t="str">
        <f>+System!$A$1</f>
        <v>MINNESOTA STATE - F.Y. 2024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21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Table'!B14</f>
        <v>29676155.289999999</v>
      </c>
      <c r="C9" s="1">
        <f>'Master Expend Table'!C14</f>
        <v>0</v>
      </c>
      <c r="D9" s="1">
        <f>'Master Expend Table'!D14</f>
        <v>1551335.06</v>
      </c>
      <c r="E9" s="1">
        <f>'Master Expend Table'!E14</f>
        <v>0</v>
      </c>
      <c r="G9" s="1">
        <f>'Master Expend Table'!G14</f>
        <v>9182788.1099999994</v>
      </c>
      <c r="H9" s="1">
        <f>'Master Expend Table'!H14</f>
        <v>8192763.3300000001</v>
      </c>
      <c r="I9" s="1">
        <f>'Master Expend Table'!I14</f>
        <v>11532484.5</v>
      </c>
      <c r="J9" s="1">
        <f>'Master Expend Table'!J14</f>
        <v>7423476</v>
      </c>
      <c r="K9" s="1">
        <f>SUM(B9:J9)</f>
        <v>67559002.289999992</v>
      </c>
    </row>
    <row r="11" spans="1:11" x14ac:dyDescent="0.2">
      <c r="A11" t="s">
        <v>3</v>
      </c>
      <c r="B11" s="1">
        <f>(B9/($K9-$J9))*-$J$11</f>
        <v>3663395.6690626321</v>
      </c>
      <c r="C11" s="1">
        <f t="shared" ref="C11:I11" si="0">(C9/($K9-$J9))*-$J$11</f>
        <v>0</v>
      </c>
      <c r="D11" s="1">
        <f t="shared" si="0"/>
        <v>191505.74205224207</v>
      </c>
      <c r="E11" s="1">
        <f t="shared" si="0"/>
        <v>0</v>
      </c>
      <c r="G11" s="1">
        <f t="shared" si="0"/>
        <v>1133576.2959641067</v>
      </c>
      <c r="H11" s="1">
        <f t="shared" si="0"/>
        <v>1011361.9303943584</v>
      </c>
      <c r="I11" s="1">
        <f t="shared" si="0"/>
        <v>1423636.3625266613</v>
      </c>
      <c r="J11" s="1">
        <f>-J9</f>
        <v>-7423476</v>
      </c>
      <c r="K11" s="1">
        <v>0</v>
      </c>
    </row>
    <row r="12" spans="1:11" x14ac:dyDescent="0.2">
      <c r="A12" t="s">
        <v>4</v>
      </c>
      <c r="B12" s="1">
        <f>+B9+B11</f>
        <v>33339550.959062632</v>
      </c>
      <c r="C12" s="1">
        <f t="shared" ref="C12:J12" si="1">+C9+C11</f>
        <v>0</v>
      </c>
      <c r="D12" s="1">
        <f t="shared" si="1"/>
        <v>1742840.8020522422</v>
      </c>
      <c r="E12" s="1">
        <f t="shared" si="1"/>
        <v>0</v>
      </c>
      <c r="G12" s="1">
        <f t="shared" si="1"/>
        <v>10316364.405964106</v>
      </c>
      <c r="H12" s="1">
        <f t="shared" si="1"/>
        <v>9204125.260394359</v>
      </c>
      <c r="I12" s="1">
        <f t="shared" si="1"/>
        <v>12956120.862526661</v>
      </c>
      <c r="J12" s="1">
        <f t="shared" si="1"/>
        <v>0</v>
      </c>
      <c r="K12" s="1">
        <f>SUM(B12:J12)</f>
        <v>67559002.289999992</v>
      </c>
    </row>
    <row r="14" spans="1:11" x14ac:dyDescent="0.2">
      <c r="A14" t="s">
        <v>5</v>
      </c>
      <c r="B14" s="1">
        <f>B$9/($K$9-$J$9-$I$9)*-I14</f>
        <v>7910777.607986209</v>
      </c>
      <c r="C14" s="1">
        <f t="shared" ref="C14:H14" si="2">C$9/($K$9-$J$9-$I$9)*-$I$14</f>
        <v>0</v>
      </c>
      <c r="D14" s="1">
        <f t="shared" si="2"/>
        <v>413539.6426931133</v>
      </c>
      <c r="E14" s="1">
        <f t="shared" si="2"/>
        <v>0</v>
      </c>
      <c r="G14" s="1">
        <f t="shared" si="2"/>
        <v>2447857.3403323772</v>
      </c>
      <c r="H14" s="1">
        <f t="shared" si="2"/>
        <v>2183946.2715149629</v>
      </c>
      <c r="I14" s="1">
        <f>-I12</f>
        <v>-12956120.862526661</v>
      </c>
      <c r="K14" s="1">
        <v>0</v>
      </c>
    </row>
    <row r="15" spans="1:11" x14ac:dyDescent="0.2">
      <c r="A15" t="s">
        <v>4</v>
      </c>
      <c r="B15" s="1">
        <f>+B12+B14</f>
        <v>41250328.56704884</v>
      </c>
      <c r="C15" s="1">
        <f>+C12+C14</f>
        <v>0</v>
      </c>
      <c r="D15" s="1">
        <f>+D12+D14</f>
        <v>2156380.4447453553</v>
      </c>
      <c r="E15" s="1">
        <f>+E12+E14</f>
        <v>0</v>
      </c>
      <c r="G15" s="1">
        <f>+G12+G14</f>
        <v>12764221.746296484</v>
      </c>
      <c r="H15" s="1">
        <f>+H12+H14</f>
        <v>11388071.531909322</v>
      </c>
      <c r="I15" s="1">
        <f>+I12+I14</f>
        <v>0</v>
      </c>
      <c r="J15" s="1">
        <f>+J12+J14</f>
        <v>0</v>
      </c>
      <c r="K15" s="1">
        <f>SUM(B15:J15)</f>
        <v>67559002.289999992</v>
      </c>
    </row>
    <row r="17" spans="1:11" x14ac:dyDescent="0.2">
      <c r="A17" t="s">
        <v>6</v>
      </c>
      <c r="B17" s="1">
        <f>B$9/($K$9-$J$9-$I$9-$H$9)*-$H$17</f>
        <v>8363074.7451812848</v>
      </c>
      <c r="C17" s="1">
        <f>C$9/($K$9-$J$9-$I$9-$H$9)*-$H$17</f>
        <v>0</v>
      </c>
      <c r="D17" s="1">
        <f>D$9/($K$9-$J$9-$I$9-$H$9)*-$H$17</f>
        <v>437183.68955873919</v>
      </c>
      <c r="E17" s="1">
        <f>E$9/($K$9-$J$9-$I$9-$H$9)*-$H$17</f>
        <v>0</v>
      </c>
      <c r="G17" s="1">
        <f>G$9/($K$9-$J$9-$I$9-$H$9)*-$H$17</f>
        <v>2587813.0971692991</v>
      </c>
      <c r="H17" s="1">
        <f>-H15</f>
        <v>-11388071.531909322</v>
      </c>
      <c r="K17" s="1">
        <v>0</v>
      </c>
    </row>
    <row r="18" spans="1:11" x14ac:dyDescent="0.2">
      <c r="A18" t="s">
        <v>4</v>
      </c>
      <c r="B18" s="1">
        <f>+B15+B17</f>
        <v>49613403.312230125</v>
      </c>
      <c r="C18" s="1">
        <f>+C15+C17</f>
        <v>0</v>
      </c>
      <c r="D18" s="1">
        <f>+D15+D17</f>
        <v>2593564.1343040946</v>
      </c>
      <c r="E18" s="1">
        <f>+E15+E17</f>
        <v>0</v>
      </c>
      <c r="G18" s="1">
        <f>+G15+G17</f>
        <v>15352034.843465783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67559002.289999992</v>
      </c>
    </row>
    <row r="20" spans="1:11" x14ac:dyDescent="0.2">
      <c r="A20" t="s">
        <v>7</v>
      </c>
      <c r="B20" s="1">
        <f>B$9/($K$9-$J$9-$I$9-$H$9-$G$9)*-$G$20</f>
        <v>14589368.691684874</v>
      </c>
      <c r="C20" s="1">
        <f>C$9/($K$9-$J$9-$I$9-$H$9-$G$9)*-$G$20</f>
        <v>0</v>
      </c>
      <c r="D20" s="1">
        <f>D$9/($K$9-$J$9-$I$9-$H$9-$G$9)*-$G$20</f>
        <v>762666.15178091265</v>
      </c>
      <c r="E20" s="1">
        <f>E$9/($K$9-$J$9-$I$9-$H$9-$G$9)*-$G$20</f>
        <v>0</v>
      </c>
      <c r="G20" s="1">
        <f>-G18</f>
        <v>-15352034.843465783</v>
      </c>
      <c r="K20" s="1">
        <f>SUM(B20:J20)</f>
        <v>0</v>
      </c>
    </row>
    <row r="22" spans="1:11" x14ac:dyDescent="0.2">
      <c r="A22" t="s">
        <v>8</v>
      </c>
      <c r="B22" s="1">
        <f>+B20+B18</f>
        <v>64202772.003914997</v>
      </c>
      <c r="C22" s="1">
        <f t="shared" ref="C22:K22" si="3">+C20+C18</f>
        <v>0</v>
      </c>
      <c r="D22" s="1">
        <f t="shared" si="3"/>
        <v>3356230.2860850072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67559002.289999992</v>
      </c>
    </row>
    <row r="27" spans="1:11" x14ac:dyDescent="0.2">
      <c r="A27" t="s">
        <v>9</v>
      </c>
      <c r="B27" s="1">
        <f>+B9</f>
        <v>29676155.289999999</v>
      </c>
    </row>
    <row r="28" spans="1:11" x14ac:dyDescent="0.2">
      <c r="A28" t="s">
        <v>10</v>
      </c>
      <c r="B28" s="1">
        <f>+B22-B27</f>
        <v>34526616.713914998</v>
      </c>
    </row>
    <row r="29" spans="1:11" x14ac:dyDescent="0.2">
      <c r="A29" s="22" t="s">
        <v>106</v>
      </c>
      <c r="B29" s="1">
        <v>5545</v>
      </c>
    </row>
    <row r="30" spans="1:11" x14ac:dyDescent="0.2">
      <c r="A30" t="s">
        <v>11</v>
      </c>
      <c r="B30" s="1">
        <f>+B28/B29</f>
        <v>6226.6215895247969</v>
      </c>
    </row>
  </sheetData>
  <phoneticPr fontId="0" type="noConversion"/>
  <pageMargins left="0.46" right="0.55000000000000004" top="1" bottom="0.63" header="0.5" footer="0.5"/>
  <pageSetup orientation="landscape" horizontalDpi="4294967294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0"/>
  <sheetViews>
    <sheetView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10" width="10.28515625" style="1" customWidth="1"/>
    <col min="11" max="11" width="10.7109375" style="1" customWidth="1"/>
  </cols>
  <sheetData>
    <row r="1" spans="1:11" ht="15.75" x14ac:dyDescent="0.25">
      <c r="A1" s="4" t="str">
        <f>+System!$A$1</f>
        <v>MINNESOTA STATE - F.Y. 2024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101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Table'!B15</f>
        <v>25395627.759999998</v>
      </c>
      <c r="C9" s="1">
        <f>'Master Expend Table'!C15</f>
        <v>0</v>
      </c>
      <c r="D9" s="1">
        <f>'Master Expend Table'!D15</f>
        <v>2745869.59</v>
      </c>
      <c r="E9" s="1">
        <f>'Master Expend Table'!E15</f>
        <v>270565.71999999997</v>
      </c>
      <c r="G9" s="1">
        <f>'Master Expend Table'!G15</f>
        <v>7131893.9500000002</v>
      </c>
      <c r="H9" s="1">
        <f>'Master Expend Table'!H15</f>
        <v>6772208.21</v>
      </c>
      <c r="I9" s="1">
        <f>'Master Expend Table'!I15</f>
        <v>7331948.1899999995</v>
      </c>
      <c r="J9" s="1">
        <f>'Master Expend Table'!J15</f>
        <v>6692686.21</v>
      </c>
      <c r="K9" s="1">
        <f>SUM(B9:J9)</f>
        <v>56340799.629999995</v>
      </c>
    </row>
    <row r="11" spans="1:11" x14ac:dyDescent="0.2">
      <c r="A11" t="s">
        <v>3</v>
      </c>
      <c r="B11" s="1">
        <f>(B9/($K9-$J9))*-$J$11</f>
        <v>3423392.2700308957</v>
      </c>
      <c r="C11" s="1">
        <f t="shared" ref="C11:I11" si="0">(C9/($K9-$J9))*-$J$11</f>
        <v>0</v>
      </c>
      <c r="D11" s="1">
        <f t="shared" si="0"/>
        <v>370149.88634086464</v>
      </c>
      <c r="E11" s="1">
        <f t="shared" si="0"/>
        <v>36472.915855313506</v>
      </c>
      <c r="G11" s="1">
        <f t="shared" si="0"/>
        <v>961396.61715966649</v>
      </c>
      <c r="H11" s="1">
        <f t="shared" si="0"/>
        <v>912910.10626916564</v>
      </c>
      <c r="I11" s="1">
        <f t="shared" si="0"/>
        <v>988364.41434409423</v>
      </c>
      <c r="J11" s="1">
        <f>-J9</f>
        <v>-6692686.21</v>
      </c>
      <c r="K11" s="1">
        <v>0</v>
      </c>
    </row>
    <row r="12" spans="1:11" x14ac:dyDescent="0.2">
      <c r="A12" t="s">
        <v>4</v>
      </c>
      <c r="B12" s="1">
        <f>+B9+B11</f>
        <v>28819020.030030895</v>
      </c>
      <c r="C12" s="1">
        <f>+C9+C11</f>
        <v>0</v>
      </c>
      <c r="D12" s="1">
        <f>+D9+D11</f>
        <v>3116019.4763408643</v>
      </c>
      <c r="E12" s="1">
        <f>+E9+E11</f>
        <v>307038.63585531351</v>
      </c>
      <c r="G12" s="1">
        <f>+G9+G11</f>
        <v>8093290.5671596667</v>
      </c>
      <c r="H12" s="1">
        <f>+H9+H11</f>
        <v>7685118.3162691658</v>
      </c>
      <c r="I12" s="1">
        <f>+I9+I11</f>
        <v>8320312.6043440942</v>
      </c>
      <c r="J12" s="1">
        <f>+J9+J11</f>
        <v>0</v>
      </c>
      <c r="K12" s="1">
        <f>SUM(B12:J12)</f>
        <v>56340799.629999995</v>
      </c>
    </row>
    <row r="14" spans="1:11" x14ac:dyDescent="0.2">
      <c r="A14" t="s">
        <v>5</v>
      </c>
      <c r="B14" s="1">
        <f>B$9/($K$9-$J$9-$I$9)*-I14</f>
        <v>4993353.2634227965</v>
      </c>
      <c r="C14" s="1">
        <f t="shared" ref="C14:H14" si="1">C$9/($K$9-$J$9-$I$9)*-$I$14</f>
        <v>0</v>
      </c>
      <c r="D14" s="1">
        <f t="shared" si="1"/>
        <v>539899.89961011766</v>
      </c>
      <c r="E14" s="1">
        <f t="shared" si="1"/>
        <v>53199.323667057033</v>
      </c>
      <c r="G14" s="1">
        <f t="shared" si="1"/>
        <v>1402291.2237558251</v>
      </c>
      <c r="H14" s="1">
        <f t="shared" si="1"/>
        <v>1331568.8938882982</v>
      </c>
      <c r="I14" s="1">
        <f>-I12</f>
        <v>-8320312.6043440942</v>
      </c>
      <c r="K14" s="1">
        <v>0</v>
      </c>
    </row>
    <row r="15" spans="1:11" x14ac:dyDescent="0.2">
      <c r="A15" t="s">
        <v>4</v>
      </c>
      <c r="B15" s="1">
        <f>+B12+B14</f>
        <v>33812373.293453693</v>
      </c>
      <c r="C15" s="1">
        <f>+C12+C14</f>
        <v>0</v>
      </c>
      <c r="D15" s="1">
        <f>+D12+D14</f>
        <v>3655919.3759509819</v>
      </c>
      <c r="E15" s="1">
        <f>+E12+E14</f>
        <v>360237.95952237054</v>
      </c>
      <c r="G15" s="1">
        <f>+G12+G14</f>
        <v>9495581.7909154911</v>
      </c>
      <c r="H15" s="1">
        <f>+H12+H14</f>
        <v>9016687.2101574633</v>
      </c>
      <c r="I15" s="1">
        <f>+I12+I14</f>
        <v>0</v>
      </c>
      <c r="J15" s="1">
        <f>+J12+J14</f>
        <v>0</v>
      </c>
      <c r="K15" s="1">
        <f>SUM(B15:J15)</f>
        <v>56340799.630000003</v>
      </c>
    </row>
    <row r="17" spans="1:11" x14ac:dyDescent="0.2">
      <c r="A17" t="s">
        <v>6</v>
      </c>
      <c r="B17" s="1">
        <f>B$9/($K$9-$J$9-$I$9-$H$9)*-$H$17</f>
        <v>6442288.6818332039</v>
      </c>
      <c r="C17" s="1">
        <f>C$9/($K$9-$J$9-$I$9-$H$9)*-$H$17</f>
        <v>0</v>
      </c>
      <c r="D17" s="1">
        <f>D$9/($K$9-$J$9-$I$9-$H$9)*-$H$17</f>
        <v>696564.17823659978</v>
      </c>
      <c r="E17" s="1">
        <f>E$9/($K$9-$J$9-$I$9-$H$9)*-$H$17</f>
        <v>68636.321658230649</v>
      </c>
      <c r="G17" s="1">
        <f>G$9/($K$9-$J$9-$I$9-$H$9)*-$H$17</f>
        <v>1809198.02842943</v>
      </c>
      <c r="H17" s="1">
        <f>-H15</f>
        <v>-9016687.2101574633</v>
      </c>
      <c r="K17" s="1">
        <v>0</v>
      </c>
    </row>
    <row r="18" spans="1:11" x14ac:dyDescent="0.2">
      <c r="A18" t="s">
        <v>4</v>
      </c>
      <c r="B18" s="1">
        <f>+B15+B17</f>
        <v>40254661.975286901</v>
      </c>
      <c r="C18" s="1">
        <f>+C15+C17</f>
        <v>0</v>
      </c>
      <c r="D18" s="1">
        <f>+D15+D17</f>
        <v>4352483.5541875819</v>
      </c>
      <c r="E18" s="1">
        <f>+E15+E17</f>
        <v>428874.28118060122</v>
      </c>
      <c r="G18" s="1">
        <f>+G15+G17</f>
        <v>11304779.819344921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56340799.630000003</v>
      </c>
    </row>
    <row r="20" spans="1:11" x14ac:dyDescent="0.2">
      <c r="A20" t="s">
        <v>7</v>
      </c>
      <c r="B20" s="1">
        <f>B$9/($K$9-$J$9-$I$9-$H$9-$G$9)*-$G$20</f>
        <v>10104580.56120469</v>
      </c>
      <c r="C20" s="1">
        <f>C$9/($K$9-$J$9-$I$9-$H$9-$G$9)*-$G$20</f>
        <v>0</v>
      </c>
      <c r="D20" s="1">
        <f>D$9/($K$9-$J$9-$I$9-$H$9-$G$9)*-$G$20</f>
        <v>1092544.777586435</v>
      </c>
      <c r="E20" s="1">
        <f>E$9/($K$9-$J$9-$I$9-$H$9-$G$9)*-$G$20</f>
        <v>107654.48055379558</v>
      </c>
      <c r="G20" s="1">
        <f>-G18</f>
        <v>-11304779.819344921</v>
      </c>
      <c r="K20" s="1">
        <f>SUM(B20:J20)</f>
        <v>0</v>
      </c>
    </row>
    <row r="22" spans="1:11" x14ac:dyDescent="0.2">
      <c r="A22" t="s">
        <v>8</v>
      </c>
      <c r="B22" s="1">
        <f>+B20+B18</f>
        <v>50359242.536491588</v>
      </c>
      <c r="C22" s="1">
        <f t="shared" ref="C22:K22" si="2">+C20+C18</f>
        <v>0</v>
      </c>
      <c r="D22" s="1">
        <f t="shared" si="2"/>
        <v>5445028.3317740168</v>
      </c>
      <c r="E22" s="1">
        <f t="shared" si="2"/>
        <v>536528.7617343968</v>
      </c>
      <c r="G22" s="1">
        <f t="shared" si="2"/>
        <v>0</v>
      </c>
      <c r="H22" s="1">
        <f t="shared" si="2"/>
        <v>0</v>
      </c>
      <c r="I22" s="1">
        <f t="shared" si="2"/>
        <v>0</v>
      </c>
      <c r="J22" s="1">
        <f t="shared" si="2"/>
        <v>0</v>
      </c>
      <c r="K22" s="1">
        <f t="shared" si="2"/>
        <v>56340799.630000003</v>
      </c>
    </row>
    <row r="27" spans="1:11" x14ac:dyDescent="0.2">
      <c r="A27" t="s">
        <v>9</v>
      </c>
      <c r="B27" s="1">
        <f>+B9</f>
        <v>25395627.759999998</v>
      </c>
    </row>
    <row r="28" spans="1:11" x14ac:dyDescent="0.2">
      <c r="A28" t="s">
        <v>10</v>
      </c>
      <c r="B28" s="1">
        <f>+B22-B27</f>
        <v>24963614.77649159</v>
      </c>
    </row>
    <row r="29" spans="1:11" x14ac:dyDescent="0.2">
      <c r="A29" s="22" t="s">
        <v>106</v>
      </c>
      <c r="B29" s="1">
        <f>'DAKCTY TC'!B29+'INVER HILLS'!B29</f>
        <v>4229</v>
      </c>
    </row>
    <row r="30" spans="1:11" x14ac:dyDescent="0.2">
      <c r="A30" t="s">
        <v>11</v>
      </c>
      <c r="B30" s="1">
        <f>+B28/B29</f>
        <v>5902.9592755950789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pageSetUpPr fitToPage="1"/>
  </sheetPr>
  <dimension ref="A1:K30"/>
  <sheetViews>
    <sheetView zoomScale="75" workbookViewId="0">
      <selection activeCell="A29" sqref="A29:B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10" width="10.28515625" style="1" customWidth="1"/>
    <col min="11" max="11" width="10.7109375" style="1" customWidth="1"/>
  </cols>
  <sheetData>
    <row r="1" spans="1:11" ht="15.75" x14ac:dyDescent="0.25">
      <c r="A1" s="4" t="str">
        <f>+System!$A$1</f>
        <v>MINNESOTA STATE - F.Y. 2024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22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Table'!B16</f>
        <v>12461297.949999999</v>
      </c>
      <c r="C9" s="1">
        <f>'Master Expend Table'!C16</f>
        <v>0</v>
      </c>
      <c r="D9" s="1">
        <f>'Master Expend Table'!D16</f>
        <v>2563217.09</v>
      </c>
      <c r="E9" s="1">
        <f>'Master Expend Table'!E16</f>
        <v>268249.99</v>
      </c>
      <c r="G9" s="1">
        <f>'Master Expend Table'!G16</f>
        <v>3093502.35</v>
      </c>
      <c r="H9" s="1">
        <f>'Master Expend Table'!H16</f>
        <v>2784606.45</v>
      </c>
      <c r="I9" s="1">
        <f>'Master Expend Table'!I16</f>
        <v>4425748.58</v>
      </c>
      <c r="J9" s="1">
        <f>'Master Expend Table'!J16</f>
        <v>3576224.68</v>
      </c>
      <c r="K9" s="1">
        <f>SUM(B9:J9)</f>
        <v>29172847.089999996</v>
      </c>
    </row>
    <row r="11" spans="1:11" x14ac:dyDescent="0.2">
      <c r="A11" t="s">
        <v>3</v>
      </c>
      <c r="B11" s="1">
        <f>(B9/($K9-$J9))*-$J$11</f>
        <v>1741026.6307719233</v>
      </c>
      <c r="C11" s="1">
        <f t="shared" ref="C11:I11" si="0">(C9/($K9-$J9))*-$J$11</f>
        <v>0</v>
      </c>
      <c r="D11" s="1">
        <f t="shared" si="0"/>
        <v>358119.13269754651</v>
      </c>
      <c r="E11" s="1">
        <f t="shared" si="0"/>
        <v>37478.469591869616</v>
      </c>
      <c r="G11" s="1">
        <f t="shared" si="0"/>
        <v>432207.78407802439</v>
      </c>
      <c r="H11" s="1">
        <f t="shared" si="0"/>
        <v>389050.48295304319</v>
      </c>
      <c r="I11" s="1">
        <f t="shared" si="0"/>
        <v>618342.17990759341</v>
      </c>
      <c r="J11" s="1">
        <f>-J9</f>
        <v>-3576224.68</v>
      </c>
      <c r="K11" s="1">
        <v>0</v>
      </c>
    </row>
    <row r="12" spans="1:11" x14ac:dyDescent="0.2">
      <c r="A12" t="s">
        <v>4</v>
      </c>
      <c r="B12" s="1">
        <f>+B9+B11</f>
        <v>14202324.580771923</v>
      </c>
      <c r="C12" s="1">
        <f>+C9+C11</f>
        <v>0</v>
      </c>
      <c r="D12" s="1">
        <f>+D9+D11</f>
        <v>2921336.2226975462</v>
      </c>
      <c r="E12" s="1">
        <f>+E9+E11</f>
        <v>305728.45959186961</v>
      </c>
      <c r="G12" s="1">
        <f>+G9+G11</f>
        <v>3525710.1340780244</v>
      </c>
      <c r="H12" s="1">
        <f>+H9+H11</f>
        <v>3173656.9329530434</v>
      </c>
      <c r="I12" s="1">
        <f>+I9+I11</f>
        <v>5044090.759907594</v>
      </c>
      <c r="J12" s="1">
        <f>+J9+J11</f>
        <v>0</v>
      </c>
      <c r="K12" s="1">
        <f>SUM(B12:J12)</f>
        <v>29172847.090000004</v>
      </c>
    </row>
    <row r="14" spans="1:11" x14ac:dyDescent="0.2">
      <c r="A14" t="s">
        <v>5</v>
      </c>
      <c r="B14" s="1">
        <f>B$9/($K$9-$J$9-$I$9)*-I14</f>
        <v>2968980.7964837528</v>
      </c>
      <c r="C14" s="1">
        <f t="shared" ref="C14:H14" si="1">C$9/($K$9-$J$9-$I$9)*-$I$14</f>
        <v>0</v>
      </c>
      <c r="D14" s="1">
        <f t="shared" si="1"/>
        <v>610702.21962142945</v>
      </c>
      <c r="E14" s="1">
        <f t="shared" si="1"/>
        <v>63912.208195532214</v>
      </c>
      <c r="G14" s="1">
        <f t="shared" si="1"/>
        <v>737045.9407904105</v>
      </c>
      <c r="H14" s="1">
        <f t="shared" si="1"/>
        <v>663449.59481646901</v>
      </c>
      <c r="I14" s="1">
        <f>-I12</f>
        <v>-5044090.759907594</v>
      </c>
      <c r="K14" s="1">
        <v>0</v>
      </c>
    </row>
    <row r="15" spans="1:11" x14ac:dyDescent="0.2">
      <c r="A15" t="s">
        <v>4</v>
      </c>
      <c r="B15" s="1">
        <f>+B12+B14</f>
        <v>17171305.377255674</v>
      </c>
      <c r="C15" s="1">
        <f>+C12+C14</f>
        <v>0</v>
      </c>
      <c r="D15" s="1">
        <f>+D12+D14</f>
        <v>3532038.4423189759</v>
      </c>
      <c r="E15" s="1">
        <f>+E12+E14</f>
        <v>369640.66778740182</v>
      </c>
      <c r="G15" s="1">
        <f>+G12+G14</f>
        <v>4262756.074868435</v>
      </c>
      <c r="H15" s="1">
        <f>+H12+H14</f>
        <v>3837106.5277695125</v>
      </c>
      <c r="I15" s="1">
        <f>+I12+I14</f>
        <v>0</v>
      </c>
      <c r="J15" s="1">
        <f>+J12+J14</f>
        <v>0</v>
      </c>
      <c r="K15" s="1">
        <f>SUM(B15:J15)</f>
        <v>29172847.090000004</v>
      </c>
    </row>
    <row r="17" spans="1:11" x14ac:dyDescent="0.2">
      <c r="A17" t="s">
        <v>6</v>
      </c>
      <c r="B17" s="1">
        <f>B$9/($K$9-$J$9-$I$9-$H$9)*-$H$17</f>
        <v>2600600.0413350808</v>
      </c>
      <c r="C17" s="1">
        <f>C$9/($K$9-$J$9-$I$9-$H$9)*-$H$17</f>
        <v>0</v>
      </c>
      <c r="D17" s="1">
        <f>D$9/($K$9-$J$9-$I$9-$H$9)*-$H$17</f>
        <v>534928.42374455754</v>
      </c>
      <c r="E17" s="1">
        <f>E$9/($K$9-$J$9-$I$9-$H$9)*-$H$17</f>
        <v>55982.204894004244</v>
      </c>
      <c r="G17" s="1">
        <f>G$9/($K$9-$J$9-$I$9-$H$9)*-$H$17</f>
        <v>645595.85779587028</v>
      </c>
      <c r="H17" s="1">
        <f>-H15</f>
        <v>-3837106.5277695125</v>
      </c>
      <c r="K17" s="1">
        <v>0</v>
      </c>
    </row>
    <row r="18" spans="1:11" x14ac:dyDescent="0.2">
      <c r="A18" t="s">
        <v>4</v>
      </c>
      <c r="B18" s="1">
        <f>+B15+B17</f>
        <v>19771905.418590754</v>
      </c>
      <c r="C18" s="1">
        <f>+C15+C17</f>
        <v>0</v>
      </c>
      <c r="D18" s="1">
        <f>+D15+D17</f>
        <v>4066966.8660635334</v>
      </c>
      <c r="E18" s="1">
        <f>+E15+E17</f>
        <v>425622.87268140609</v>
      </c>
      <c r="G18" s="1">
        <f>+G15+G17</f>
        <v>4908351.932664305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29172847.09</v>
      </c>
    </row>
    <row r="20" spans="1:11" x14ac:dyDescent="0.2">
      <c r="A20" t="s">
        <v>7</v>
      </c>
      <c r="B20" s="1">
        <f>B$9/($K$9-$J$9-$I$9-$H$9-$G$9)*-$G$20</f>
        <v>3999566.8380702403</v>
      </c>
      <c r="C20" s="1">
        <f>C$9/($K$9-$J$9-$I$9-$H$9-$G$9)*-$G$20</f>
        <v>0</v>
      </c>
      <c r="D20" s="1">
        <f>D$9/($K$9-$J$9-$I$9-$H$9-$G$9)*-$G$20</f>
        <v>822687.82217336376</v>
      </c>
      <c r="E20" s="1">
        <f>E$9/($K$9-$J$9-$I$9-$H$9-$G$9)*-$G$20</f>
        <v>86097.272420701047</v>
      </c>
      <c r="G20" s="1">
        <f>-G18</f>
        <v>-4908351.932664305</v>
      </c>
      <c r="K20" s="1">
        <f>SUM(B20:J20)</f>
        <v>0</v>
      </c>
    </row>
    <row r="22" spans="1:11" x14ac:dyDescent="0.2">
      <c r="A22" t="s">
        <v>8</v>
      </c>
      <c r="B22" s="1">
        <f>+B20+B18</f>
        <v>23771472.256660994</v>
      </c>
      <c r="C22" s="1">
        <f t="shared" ref="C22:K22" si="2">+C20+C18</f>
        <v>0</v>
      </c>
      <c r="D22" s="1">
        <f t="shared" si="2"/>
        <v>4889654.6882368969</v>
      </c>
      <c r="E22" s="1">
        <f t="shared" si="2"/>
        <v>511720.14510210714</v>
      </c>
      <c r="G22" s="1">
        <f t="shared" si="2"/>
        <v>0</v>
      </c>
      <c r="H22" s="1">
        <f t="shared" si="2"/>
        <v>0</v>
      </c>
      <c r="I22" s="1">
        <f t="shared" si="2"/>
        <v>0</v>
      </c>
      <c r="J22" s="1">
        <f t="shared" si="2"/>
        <v>0</v>
      </c>
      <c r="K22" s="1">
        <f t="shared" si="2"/>
        <v>29172847.09</v>
      </c>
    </row>
    <row r="27" spans="1:11" x14ac:dyDescent="0.2">
      <c r="A27" t="s">
        <v>9</v>
      </c>
      <c r="B27" s="1">
        <f>+B9</f>
        <v>12461297.949999999</v>
      </c>
    </row>
    <row r="28" spans="1:11" x14ac:dyDescent="0.2">
      <c r="A28" t="s">
        <v>10</v>
      </c>
      <c r="B28" s="1">
        <f>+B22-B27</f>
        <v>11310174.306660995</v>
      </c>
    </row>
    <row r="29" spans="1:11" x14ac:dyDescent="0.2">
      <c r="A29" s="22" t="s">
        <v>106</v>
      </c>
      <c r="B29" s="1">
        <v>1976</v>
      </c>
    </row>
    <row r="30" spans="1:11" x14ac:dyDescent="0.2">
      <c r="A30" t="s">
        <v>11</v>
      </c>
      <c r="B30" s="1">
        <f>+B28/B29</f>
        <v>5723.7724223992891</v>
      </c>
    </row>
  </sheetData>
  <phoneticPr fontId="0" type="noConversion"/>
  <pageMargins left="0.52" right="0.55000000000000004" top="0.83" bottom="0.56000000000000005" header="0.5" footer="0.5"/>
  <pageSetup orientation="landscape" horizontalDpi="4294967294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K30"/>
  <sheetViews>
    <sheetView zoomScale="75" workbookViewId="0">
      <selection activeCell="A29" sqref="A29:B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10" width="10.28515625" style="1" customWidth="1"/>
    <col min="11" max="11" width="11.42578125" style="1" customWidth="1"/>
  </cols>
  <sheetData>
    <row r="1" spans="1:11" ht="15.75" x14ac:dyDescent="0.25">
      <c r="A1" s="4" t="str">
        <f>+System!$A$1</f>
        <v>MINNESOTA STATE - F.Y. 2024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25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Table'!B17</f>
        <v>12934329.810000001</v>
      </c>
      <c r="C9" s="1">
        <f>'Master Expend Table'!C17</f>
        <v>0</v>
      </c>
      <c r="D9" s="1">
        <f>'Master Expend Table'!D17</f>
        <v>182652.5</v>
      </c>
      <c r="E9" s="1">
        <f>'Master Expend Table'!E17</f>
        <v>2315.73</v>
      </c>
      <c r="G9" s="1">
        <f>'Master Expend Table'!G17</f>
        <v>4038391.6</v>
      </c>
      <c r="H9" s="1">
        <f>'Master Expend Table'!H17</f>
        <v>3987601.76</v>
      </c>
      <c r="I9" s="1">
        <f>'Master Expend Table'!I17</f>
        <v>2906199.61</v>
      </c>
      <c r="J9" s="1">
        <f>'Master Expend Table'!J17</f>
        <v>3116461.53</v>
      </c>
      <c r="K9" s="1">
        <f>SUM(B9:J9)</f>
        <v>27167952.539999999</v>
      </c>
    </row>
    <row r="11" spans="1:11" x14ac:dyDescent="0.2">
      <c r="A11" t="s">
        <v>3</v>
      </c>
      <c r="B11" s="1">
        <f>(B9/($K9-$J9))*-$J$11</f>
        <v>1675960.1827777585</v>
      </c>
      <c r="C11" s="1">
        <f t="shared" ref="C11:I11" si="0">(C9/($K9-$J9))*-$J$11</f>
        <v>0</v>
      </c>
      <c r="D11" s="1">
        <f t="shared" si="0"/>
        <v>23667.118573715608</v>
      </c>
      <c r="E11" s="1">
        <f t="shared" si="0"/>
        <v>300.05971171875802</v>
      </c>
      <c r="G11" s="1">
        <f t="shared" si="0"/>
        <v>523272.84238812554</v>
      </c>
      <c r="H11" s="1">
        <f t="shared" si="0"/>
        <v>516691.77086914802</v>
      </c>
      <c r="I11" s="1">
        <f t="shared" si="0"/>
        <v>376569.55567953386</v>
      </c>
      <c r="J11" s="1">
        <f>-J9</f>
        <v>-3116461.53</v>
      </c>
      <c r="K11" s="1">
        <v>0</v>
      </c>
    </row>
    <row r="12" spans="1:11" x14ac:dyDescent="0.2">
      <c r="A12" t="s">
        <v>4</v>
      </c>
      <c r="B12" s="1">
        <f>+B9+B11</f>
        <v>14610289.992777759</v>
      </c>
      <c r="C12" s="1">
        <f t="shared" ref="C12:J12" si="1">+C9+C11</f>
        <v>0</v>
      </c>
      <c r="D12" s="1">
        <f t="shared" si="1"/>
        <v>206319.61857371562</v>
      </c>
      <c r="E12" s="1">
        <f t="shared" si="1"/>
        <v>2615.7897117187581</v>
      </c>
      <c r="G12" s="1">
        <f t="shared" si="1"/>
        <v>4561664.4423881257</v>
      </c>
      <c r="H12" s="1">
        <f t="shared" si="1"/>
        <v>4504293.5308691477</v>
      </c>
      <c r="I12" s="1">
        <f t="shared" si="1"/>
        <v>3282769.165679534</v>
      </c>
      <c r="J12" s="1">
        <f t="shared" si="1"/>
        <v>0</v>
      </c>
      <c r="K12" s="1">
        <f>SUM(B12:J12)</f>
        <v>27167952.540000003</v>
      </c>
    </row>
    <row r="14" spans="1:11" x14ac:dyDescent="0.2">
      <c r="A14" t="s">
        <v>5</v>
      </c>
      <c r="B14" s="1">
        <f>B$9/($K$9-$J$9-$I$9)*-I14</f>
        <v>2008031.8722397757</v>
      </c>
      <c r="C14" s="1">
        <f t="shared" ref="C14:H14" si="2">C$9/($K$9-$J$9-$I$9)*-$I$14</f>
        <v>0</v>
      </c>
      <c r="D14" s="1">
        <f t="shared" si="2"/>
        <v>28356.478219745935</v>
      </c>
      <c r="E14" s="1">
        <f t="shared" si="2"/>
        <v>359.51299493744824</v>
      </c>
      <c r="G14" s="1">
        <f t="shared" si="2"/>
        <v>626953.16761722381</v>
      </c>
      <c r="H14" s="1">
        <f t="shared" si="2"/>
        <v>619068.13460785139</v>
      </c>
      <c r="I14" s="1">
        <f>-I12</f>
        <v>-3282769.165679534</v>
      </c>
      <c r="K14" s="1">
        <v>0</v>
      </c>
    </row>
    <row r="15" spans="1:11" x14ac:dyDescent="0.2">
      <c r="A15" t="s">
        <v>4</v>
      </c>
      <c r="B15" s="1">
        <f>+B12+B14</f>
        <v>16618321.865017535</v>
      </c>
      <c r="C15" s="1">
        <f>+C12+C14</f>
        <v>0</v>
      </c>
      <c r="D15" s="1">
        <f>+D12+D14</f>
        <v>234676.09679346156</v>
      </c>
      <c r="E15" s="1">
        <f>+E12+E14</f>
        <v>2975.3027066562063</v>
      </c>
      <c r="G15" s="1">
        <f>+G12+G14</f>
        <v>5188617.6100053499</v>
      </c>
      <c r="H15" s="1">
        <f>+H12+H14</f>
        <v>5123361.6654769992</v>
      </c>
      <c r="I15" s="1">
        <f>+I12+I14</f>
        <v>0</v>
      </c>
      <c r="J15" s="1">
        <f>+J12+J14</f>
        <v>0</v>
      </c>
      <c r="K15" s="1">
        <f>SUM(B15:J15)</f>
        <v>27167952.539999999</v>
      </c>
    </row>
    <row r="17" spans="1:11" x14ac:dyDescent="0.2">
      <c r="A17" t="s">
        <v>6</v>
      </c>
      <c r="B17" s="1">
        <f>B$9/($K$9-$J$9-$I$9-$H$9)*-$H$17</f>
        <v>3862247.8263448994</v>
      </c>
      <c r="C17" s="1">
        <f>C$9/($K$9-$J$9-$I$9-$H$9)*-$H$17</f>
        <v>0</v>
      </c>
      <c r="D17" s="1">
        <f>D$9/($K$9-$J$9-$I$9-$H$9)*-$H$17</f>
        <v>54540.840651523613</v>
      </c>
      <c r="E17" s="1">
        <f>E$9/($K$9-$J$9-$I$9-$H$9)*-$H$17</f>
        <v>691.4871733042404</v>
      </c>
      <c r="G17" s="1">
        <f>G$9/($K$9-$J$9-$I$9-$H$9)*-$H$17</f>
        <v>1205881.5113072719</v>
      </c>
      <c r="H17" s="1">
        <f>-H15</f>
        <v>-5123361.6654769992</v>
      </c>
      <c r="K17" s="1">
        <v>0</v>
      </c>
    </row>
    <row r="18" spans="1:11" x14ac:dyDescent="0.2">
      <c r="A18" t="s">
        <v>4</v>
      </c>
      <c r="B18" s="1">
        <f>+B15+B17</f>
        <v>20480569.691362433</v>
      </c>
      <c r="C18" s="1">
        <f>+C15+C17</f>
        <v>0</v>
      </c>
      <c r="D18" s="1">
        <f>+D15+D17</f>
        <v>289216.93744498515</v>
      </c>
      <c r="E18" s="1">
        <f>+E15+E17</f>
        <v>3666.7898799604468</v>
      </c>
      <c r="G18" s="1">
        <f>+G15+G17</f>
        <v>6394499.121312622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27167952.539999999</v>
      </c>
    </row>
    <row r="20" spans="1:11" x14ac:dyDescent="0.2">
      <c r="A20" t="s">
        <v>7</v>
      </c>
      <c r="B20" s="1">
        <f>B$9/($K$9-$J$9-$I$9-$H$9-$G$9)*-$G$20</f>
        <v>6304343.4452543808</v>
      </c>
      <c r="C20" s="1">
        <f>C$9/($K$9-$J$9-$I$9-$H$9-$G$9)*-$G$20</f>
        <v>0</v>
      </c>
      <c r="D20" s="1">
        <f>D$9/($K$9-$J$9-$I$9-$H$9-$G$9)*-$G$20</f>
        <v>89026.962204416355</v>
      </c>
      <c r="E20" s="1">
        <f>E$9/($K$9-$J$9-$I$9-$H$9-$G$9)*-$G$20</f>
        <v>1128.7138538242461</v>
      </c>
      <c r="G20" s="1">
        <f>-G18</f>
        <v>-6394499.121312622</v>
      </c>
      <c r="K20" s="1">
        <f>SUM(B20:J20)</f>
        <v>0</v>
      </c>
    </row>
    <row r="22" spans="1:11" x14ac:dyDescent="0.2">
      <c r="A22" t="s">
        <v>8</v>
      </c>
      <c r="B22" s="1">
        <f>+B20+B18</f>
        <v>26784913.136616815</v>
      </c>
      <c r="C22" s="1">
        <f t="shared" ref="C22:K22" si="3">+C20+C18</f>
        <v>0</v>
      </c>
      <c r="D22" s="1">
        <f t="shared" si="3"/>
        <v>378243.89964940149</v>
      </c>
      <c r="E22" s="1">
        <f t="shared" si="3"/>
        <v>4795.5037337846934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27167952.539999999</v>
      </c>
    </row>
    <row r="27" spans="1:11" x14ac:dyDescent="0.2">
      <c r="A27" t="s">
        <v>9</v>
      </c>
      <c r="B27" s="1">
        <f>+B9</f>
        <v>12934329.810000001</v>
      </c>
    </row>
    <row r="28" spans="1:11" x14ac:dyDescent="0.2">
      <c r="A28" t="s">
        <v>10</v>
      </c>
      <c r="B28" s="1">
        <f>+B22-B27</f>
        <v>13850583.326616814</v>
      </c>
    </row>
    <row r="29" spans="1:11" x14ac:dyDescent="0.2">
      <c r="A29" s="22" t="s">
        <v>106</v>
      </c>
      <c r="B29" s="1">
        <v>2253</v>
      </c>
    </row>
    <row r="30" spans="1:11" x14ac:dyDescent="0.2">
      <c r="A30" t="s">
        <v>11</v>
      </c>
      <c r="B30" s="1">
        <f>+B28/B29</f>
        <v>6147.6179878459006</v>
      </c>
    </row>
  </sheetData>
  <phoneticPr fontId="0" type="noConversion"/>
  <pageMargins left="0.42" right="0.55000000000000004" top="1" bottom="0.57999999999999996" header="0.5" footer="0.5"/>
  <pageSetup orientation="landscape" horizontalDpi="4294967294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>
    <pageSetUpPr fitToPage="1"/>
  </sheetPr>
  <dimension ref="A1:K30"/>
  <sheetViews>
    <sheetView zoomScale="75" workbookViewId="0">
      <selection activeCell="A29" sqref="A29:B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10" width="10.28515625" style="1" customWidth="1"/>
    <col min="11" max="11" width="11.42578125" style="1" customWidth="1"/>
  </cols>
  <sheetData>
    <row r="1" spans="1:11" ht="15.75" x14ac:dyDescent="0.25">
      <c r="A1" s="4" t="str">
        <f>+System!$A$1</f>
        <v>MINNESOTA STATE - F.Y. 2024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23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Table'!B18</f>
        <v>5473376.21</v>
      </c>
      <c r="C9" s="1">
        <f>'Master Expend Table'!C18</f>
        <v>0</v>
      </c>
      <c r="D9" s="1">
        <f>'Master Expend Table'!D18</f>
        <v>0</v>
      </c>
      <c r="E9" s="1">
        <f>'Master Expend Table'!E18</f>
        <v>0</v>
      </c>
      <c r="G9" s="1">
        <f>'Master Expend Table'!G18</f>
        <v>1964116.17</v>
      </c>
      <c r="H9" s="1">
        <f>'Master Expend Table'!H18</f>
        <v>1007617.68</v>
      </c>
      <c r="I9" s="1">
        <f>'Master Expend Table'!I18</f>
        <v>2528097.19</v>
      </c>
      <c r="J9" s="1">
        <f>'Master Expend Table'!J18</f>
        <v>941744</v>
      </c>
      <c r="K9" s="1">
        <f>SUM(B9:J9)</f>
        <v>11914951.25</v>
      </c>
    </row>
    <row r="11" spans="1:11" x14ac:dyDescent="0.2">
      <c r="A11" t="s">
        <v>3</v>
      </c>
      <c r="B11" s="1">
        <f>(B9/($K9-$J9))*-$J$11</f>
        <v>469736.79509336164</v>
      </c>
      <c r="C11" s="1">
        <f t="shared" ref="C11:I11" si="0">(C9/($K9-$J9))*-$J$11</f>
        <v>0</v>
      </c>
      <c r="D11" s="1">
        <f t="shared" si="0"/>
        <v>0</v>
      </c>
      <c r="E11" s="1">
        <f t="shared" si="0"/>
        <v>0</v>
      </c>
      <c r="G11" s="1">
        <f t="shared" si="0"/>
        <v>168564.62985336216</v>
      </c>
      <c r="H11" s="1">
        <f t="shared" si="0"/>
        <v>86475.893766967725</v>
      </c>
      <c r="I11" s="1">
        <f t="shared" si="0"/>
        <v>216966.68128630854</v>
      </c>
      <c r="J11" s="1">
        <f>-J9</f>
        <v>-941744</v>
      </c>
      <c r="K11" s="1">
        <v>0</v>
      </c>
    </row>
    <row r="12" spans="1:11" x14ac:dyDescent="0.2">
      <c r="A12" t="s">
        <v>4</v>
      </c>
      <c r="B12" s="1">
        <f>+B9+B11</f>
        <v>5943113.0050933613</v>
      </c>
      <c r="C12" s="1">
        <f t="shared" ref="C12:J12" si="1">+C9+C11</f>
        <v>0</v>
      </c>
      <c r="D12" s="1">
        <f t="shared" si="1"/>
        <v>0</v>
      </c>
      <c r="E12" s="1">
        <f t="shared" si="1"/>
        <v>0</v>
      </c>
      <c r="G12" s="1">
        <f t="shared" si="1"/>
        <v>2132680.7998533621</v>
      </c>
      <c r="H12" s="1">
        <f t="shared" si="1"/>
        <v>1094093.5737669677</v>
      </c>
      <c r="I12" s="1">
        <f t="shared" si="1"/>
        <v>2745063.8712863084</v>
      </c>
      <c r="J12" s="1">
        <f t="shared" si="1"/>
        <v>0</v>
      </c>
      <c r="K12" s="1">
        <f>SUM(B12:J12)</f>
        <v>11914951.25</v>
      </c>
    </row>
    <row r="14" spans="1:11" x14ac:dyDescent="0.2">
      <c r="A14" t="s">
        <v>5</v>
      </c>
      <c r="B14" s="1">
        <f>B$9/($K$9-$J$9-$I$9)*-I14</f>
        <v>1779108.5233090476</v>
      </c>
      <c r="C14" s="1">
        <f t="shared" ref="C14:H14" si="2">C$9/($K$9-$J$9-$I$9)*-$I$14</f>
        <v>0</v>
      </c>
      <c r="D14" s="1">
        <f t="shared" si="2"/>
        <v>0</v>
      </c>
      <c r="E14" s="1">
        <f t="shared" si="2"/>
        <v>0</v>
      </c>
      <c r="G14" s="1">
        <f t="shared" si="2"/>
        <v>638431.50639486592</v>
      </c>
      <c r="H14" s="1">
        <f t="shared" si="2"/>
        <v>327523.84158239479</v>
      </c>
      <c r="I14" s="1">
        <f>-I12</f>
        <v>-2745063.8712863084</v>
      </c>
      <c r="K14" s="1">
        <v>0</v>
      </c>
    </row>
    <row r="15" spans="1:11" x14ac:dyDescent="0.2">
      <c r="A15" t="s">
        <v>4</v>
      </c>
      <c r="B15" s="1">
        <f>+B12+B14</f>
        <v>7722221.5284024086</v>
      </c>
      <c r="C15" s="1">
        <f>+C12+C14</f>
        <v>0</v>
      </c>
      <c r="D15" s="1">
        <f>+D12+D14</f>
        <v>0</v>
      </c>
      <c r="E15" s="1">
        <f>+E12+E14</f>
        <v>0</v>
      </c>
      <c r="G15" s="1">
        <f>+G12+G14</f>
        <v>2771112.3062482281</v>
      </c>
      <c r="H15" s="1">
        <f>+H12+H14</f>
        <v>1421617.4153493624</v>
      </c>
      <c r="I15" s="1">
        <f>+I12+I14</f>
        <v>0</v>
      </c>
      <c r="J15" s="1">
        <f>+J12+J14</f>
        <v>0</v>
      </c>
      <c r="K15" s="1">
        <f>SUM(B15:J15)</f>
        <v>11914951.249999998</v>
      </c>
    </row>
    <row r="17" spans="1:11" x14ac:dyDescent="0.2">
      <c r="A17" t="s">
        <v>6</v>
      </c>
      <c r="B17" s="1">
        <f>B$9/($K$9-$J$9-$I$9-$H$9)*-$H$17</f>
        <v>1046192.2571939345</v>
      </c>
      <c r="C17" s="1">
        <f>C$9/($K$9-$J$9-$I$9-$H$9)*-$H$17</f>
        <v>0</v>
      </c>
      <c r="D17" s="1">
        <f>D$9/($K$9-$J$9-$I$9-$H$9)*-$H$17</f>
        <v>0</v>
      </c>
      <c r="E17" s="1">
        <f>E$9/($K$9-$J$9-$I$9-$H$9)*-$H$17</f>
        <v>0</v>
      </c>
      <c r="G17" s="1">
        <f>G$9/($K$9-$J$9-$I$9-$H$9)*-$H$17</f>
        <v>375425.15815542772</v>
      </c>
      <c r="H17" s="1">
        <f>-H15</f>
        <v>-1421617.4153493624</v>
      </c>
      <c r="K17" s="1">
        <v>0</v>
      </c>
    </row>
    <row r="18" spans="1:11" x14ac:dyDescent="0.2">
      <c r="A18" t="s">
        <v>4</v>
      </c>
      <c r="B18" s="1">
        <f>+B15+B17</f>
        <v>8768413.7855963428</v>
      </c>
      <c r="C18" s="1">
        <f>+C15+C17</f>
        <v>0</v>
      </c>
      <c r="D18" s="1">
        <f>+D15+D17</f>
        <v>0</v>
      </c>
      <c r="E18" s="1">
        <f>+E15+E17</f>
        <v>0</v>
      </c>
      <c r="G18" s="1">
        <f>+G15+G17</f>
        <v>3146537.4644036558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11914951.249999998</v>
      </c>
    </row>
    <row r="20" spans="1:11" x14ac:dyDescent="0.2">
      <c r="A20" t="s">
        <v>7</v>
      </c>
      <c r="B20" s="1">
        <f>B$9/($K$9-$J$9-$I$9-$H$9-$G$9)*-$G$20</f>
        <v>3146537.4644036549</v>
      </c>
      <c r="C20" s="1">
        <f>C$9/($K$9-$J$9-$I$9-$H$9-$G$9)*-$G$20</f>
        <v>0</v>
      </c>
      <c r="D20" s="1">
        <f>D$9/($K$9-$J$9-$I$9-$H$9-$G$9)*-$G$20</f>
        <v>0</v>
      </c>
      <c r="E20" s="1">
        <f>E$9/($K$9-$J$9-$I$9-$H$9-$G$9)*-$G$20</f>
        <v>0</v>
      </c>
      <c r="G20" s="1">
        <f>-G18</f>
        <v>-3146537.4644036558</v>
      </c>
      <c r="K20" s="1">
        <f>SUM(B20:J20)</f>
        <v>0</v>
      </c>
    </row>
    <row r="22" spans="1:11" x14ac:dyDescent="0.2">
      <c r="A22" t="s">
        <v>8</v>
      </c>
      <c r="B22" s="1">
        <f>+B20+B18</f>
        <v>11914951.249999998</v>
      </c>
      <c r="C22" s="1">
        <f t="shared" ref="C22:K22" si="3">+C20+C18</f>
        <v>0</v>
      </c>
      <c r="D22" s="1">
        <f t="shared" si="3"/>
        <v>0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11914951.249999998</v>
      </c>
    </row>
    <row r="27" spans="1:11" x14ac:dyDescent="0.2">
      <c r="A27" t="s">
        <v>9</v>
      </c>
      <c r="B27" s="1">
        <f>+B9</f>
        <v>5473376.21</v>
      </c>
    </row>
    <row r="28" spans="1:11" x14ac:dyDescent="0.2">
      <c r="A28" t="s">
        <v>10</v>
      </c>
      <c r="B28" s="1">
        <f>+B22-B27</f>
        <v>6441575.0399999982</v>
      </c>
    </row>
    <row r="29" spans="1:11" x14ac:dyDescent="0.2">
      <c r="A29" s="22" t="s">
        <v>106</v>
      </c>
      <c r="B29" s="1">
        <v>815</v>
      </c>
    </row>
    <row r="30" spans="1:11" x14ac:dyDescent="0.2">
      <c r="A30" t="s">
        <v>11</v>
      </c>
      <c r="B30" s="1">
        <f>+B28/B29</f>
        <v>7903.7730552147214</v>
      </c>
    </row>
  </sheetData>
  <phoneticPr fontId="0" type="noConversion"/>
  <pageMargins left="0.57999999999999996" right="0.55000000000000004" top="0.9" bottom="0.55000000000000004" header="0.5" footer="0.5"/>
  <pageSetup orientation="landscape" horizontalDpi="4294967294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pageSetUpPr fitToPage="1"/>
  </sheetPr>
  <dimension ref="A1:K30"/>
  <sheetViews>
    <sheetView zoomScale="75" workbookViewId="0">
      <selection activeCell="A29" sqref="A29:B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10" width="10.28515625" style="1" customWidth="1"/>
    <col min="11" max="11" width="11.42578125" style="1" customWidth="1"/>
  </cols>
  <sheetData>
    <row r="1" spans="1:11" ht="15.75" x14ac:dyDescent="0.25">
      <c r="A1" s="4" t="str">
        <f>+System!$A$1</f>
        <v>MINNESOTA STATE - F.Y. 2024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24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Table'!B19</f>
        <v>19359879.670000002</v>
      </c>
      <c r="C9" s="1">
        <f>'Master Expend Table'!C19</f>
        <v>0</v>
      </c>
      <c r="D9" s="1">
        <f>'Master Expend Table'!D19</f>
        <v>1578949.54</v>
      </c>
      <c r="E9" s="1">
        <f>'Master Expend Table'!E19</f>
        <v>0</v>
      </c>
      <c r="G9" s="1">
        <f>'Master Expend Table'!G19</f>
        <v>6182357.8300000001</v>
      </c>
      <c r="H9" s="1">
        <f>'Master Expend Table'!H19</f>
        <v>5896086</v>
      </c>
      <c r="I9" s="1">
        <f>'Master Expend Table'!I19</f>
        <v>7186926.0599999996</v>
      </c>
      <c r="J9" s="1">
        <f>'Master Expend Table'!J19</f>
        <v>5459811.75</v>
      </c>
      <c r="K9" s="1">
        <f>SUM(B9:J9)</f>
        <v>45664010.850000001</v>
      </c>
    </row>
    <row r="11" spans="1:11" x14ac:dyDescent="0.2">
      <c r="A11" t="s">
        <v>3</v>
      </c>
      <c r="B11" s="1">
        <f>(B9/($K9-$J9))*-$J$11</f>
        <v>2629110.9104783069</v>
      </c>
      <c r="C11" s="1">
        <f t="shared" ref="C11:I11" si="0">(C9/($K9-$J9))*-$J$11</f>
        <v>0</v>
      </c>
      <c r="D11" s="1">
        <f t="shared" si="0"/>
        <v>214424.54878174889</v>
      </c>
      <c r="E11" s="1">
        <f t="shared" si="0"/>
        <v>0</v>
      </c>
      <c r="G11" s="1">
        <f t="shared" si="0"/>
        <v>839576.72776867973</v>
      </c>
      <c r="H11" s="1">
        <f t="shared" si="0"/>
        <v>800700.43285131617</v>
      </c>
      <c r="I11" s="1">
        <f t="shared" si="0"/>
        <v>975999.13011994818</v>
      </c>
      <c r="J11" s="1">
        <f>-J9</f>
        <v>-5459811.75</v>
      </c>
      <c r="K11" s="1">
        <v>0</v>
      </c>
    </row>
    <row r="12" spans="1:11" x14ac:dyDescent="0.2">
      <c r="A12" t="s">
        <v>4</v>
      </c>
      <c r="B12" s="1">
        <f>+B9+B11</f>
        <v>21988990.580478311</v>
      </c>
      <c r="C12" s="1">
        <f t="shared" ref="C12:J12" si="1">+C9+C11</f>
        <v>0</v>
      </c>
      <c r="D12" s="1">
        <f t="shared" si="1"/>
        <v>1793374.0887817489</v>
      </c>
      <c r="E12" s="1">
        <f t="shared" si="1"/>
        <v>0</v>
      </c>
      <c r="G12" s="1">
        <f t="shared" si="1"/>
        <v>7021934.5577686802</v>
      </c>
      <c r="H12" s="1">
        <f t="shared" si="1"/>
        <v>6696786.4328513164</v>
      </c>
      <c r="I12" s="1">
        <f t="shared" si="1"/>
        <v>8162925.1901199482</v>
      </c>
      <c r="J12" s="1">
        <f t="shared" si="1"/>
        <v>0</v>
      </c>
      <c r="K12" s="1">
        <f>SUM(B12:J12)</f>
        <v>45664010.850000009</v>
      </c>
    </row>
    <row r="14" spans="1:11" x14ac:dyDescent="0.2">
      <c r="A14" t="s">
        <v>5</v>
      </c>
      <c r="B14" s="1">
        <f>B$9/($K$9-$J$9-$I$9)*-I14</f>
        <v>4786381.0328756962</v>
      </c>
      <c r="C14" s="1">
        <f t="shared" ref="C14:H14" si="2">C$9/($K$9-$J$9-$I$9)*-$I$14</f>
        <v>0</v>
      </c>
      <c r="D14" s="1">
        <f t="shared" si="2"/>
        <v>390366.79250826174</v>
      </c>
      <c r="E14" s="1">
        <f t="shared" si="2"/>
        <v>0</v>
      </c>
      <c r="G14" s="1">
        <f t="shared" si="2"/>
        <v>1528476.4554511583</v>
      </c>
      <c r="H14" s="1">
        <f t="shared" si="2"/>
        <v>1457700.9092848317</v>
      </c>
      <c r="I14" s="1">
        <f>-I12</f>
        <v>-8162925.1901199482</v>
      </c>
      <c r="K14" s="1">
        <v>0</v>
      </c>
    </row>
    <row r="15" spans="1:11" x14ac:dyDescent="0.2">
      <c r="A15" t="s">
        <v>4</v>
      </c>
      <c r="B15" s="1">
        <f>+B12+B14</f>
        <v>26775371.613354005</v>
      </c>
      <c r="C15" s="1">
        <f>+C12+C14</f>
        <v>0</v>
      </c>
      <c r="D15" s="1">
        <f>+D12+D14</f>
        <v>2183740.8812900106</v>
      </c>
      <c r="E15" s="1">
        <f>+E12+E14</f>
        <v>0</v>
      </c>
      <c r="G15" s="1">
        <f>+G12+G14</f>
        <v>8550411.013219839</v>
      </c>
      <c r="H15" s="1">
        <f>+H12+H14</f>
        <v>8154487.3421361484</v>
      </c>
      <c r="I15" s="1">
        <f>+I12+I14</f>
        <v>0</v>
      </c>
      <c r="J15" s="1">
        <f>+J12+J14</f>
        <v>0</v>
      </c>
      <c r="K15" s="1">
        <f>SUM(B15:J15)</f>
        <v>45664010.850000009</v>
      </c>
    </row>
    <row r="17" spans="1:11" x14ac:dyDescent="0.2">
      <c r="A17" t="s">
        <v>6</v>
      </c>
      <c r="B17" s="1">
        <f>B$9/($K$9-$J$9-$I$9-$H$9)*-$H$17</f>
        <v>5820906.4920889232</v>
      </c>
      <c r="C17" s="1">
        <f>C$9/($K$9-$J$9-$I$9-$H$9)*-$H$17</f>
        <v>0</v>
      </c>
      <c r="D17" s="1">
        <f>D$9/($K$9-$J$9-$I$9-$H$9)*-$H$17</f>
        <v>474740.43148672202</v>
      </c>
      <c r="E17" s="1">
        <f>E$9/($K$9-$J$9-$I$9-$H$9)*-$H$17</f>
        <v>0</v>
      </c>
      <c r="G17" s="1">
        <f>G$9/($K$9-$J$9-$I$9-$H$9)*-$H$17</f>
        <v>1858840.4185605035</v>
      </c>
      <c r="H17" s="1">
        <f>-H15</f>
        <v>-8154487.3421361484</v>
      </c>
      <c r="K17" s="1">
        <v>0</v>
      </c>
    </row>
    <row r="18" spans="1:11" x14ac:dyDescent="0.2">
      <c r="A18" t="s">
        <v>4</v>
      </c>
      <c r="B18" s="1">
        <f>+B15+B17</f>
        <v>32596278.105442926</v>
      </c>
      <c r="C18" s="1">
        <f>+C15+C17</f>
        <v>0</v>
      </c>
      <c r="D18" s="1">
        <f>+D15+D17</f>
        <v>2658481.3127767327</v>
      </c>
      <c r="E18" s="1">
        <f>+E15+E17</f>
        <v>0</v>
      </c>
      <c r="G18" s="1">
        <f>+G15+G17</f>
        <v>10409251.431780342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45664010.849999994</v>
      </c>
    </row>
    <row r="20" spans="1:11" x14ac:dyDescent="0.2">
      <c r="A20" t="s">
        <v>7</v>
      </c>
      <c r="B20" s="1">
        <f>B$9/($K$9-$J$9-$I$9-$H$9-$G$9)*-$G$20</f>
        <v>9624313.4299886972</v>
      </c>
      <c r="C20" s="1">
        <f>C$9/($K$9-$J$9-$I$9-$H$9-$G$9)*-$G$20</f>
        <v>0</v>
      </c>
      <c r="D20" s="1">
        <f>D$9/($K$9-$J$9-$I$9-$H$9-$G$9)*-$G$20</f>
        <v>784938.00179164414</v>
      </c>
      <c r="E20" s="1">
        <f>E$9/($K$9-$J$9-$I$9-$H$9-$G$9)*-$G$20</f>
        <v>0</v>
      </c>
      <c r="G20" s="1">
        <f>-G18</f>
        <v>-10409251.431780342</v>
      </c>
      <c r="K20" s="1">
        <f>SUM(B20:J20)</f>
        <v>0</v>
      </c>
    </row>
    <row r="22" spans="1:11" x14ac:dyDescent="0.2">
      <c r="A22" t="s">
        <v>8</v>
      </c>
      <c r="B22" s="1">
        <f>+B20+B18</f>
        <v>42220591.535431623</v>
      </c>
      <c r="C22" s="1">
        <f t="shared" ref="C22:K22" si="3">+C20+C18</f>
        <v>0</v>
      </c>
      <c r="D22" s="1">
        <f t="shared" si="3"/>
        <v>3443419.3145683771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45664010.849999994</v>
      </c>
    </row>
    <row r="27" spans="1:11" x14ac:dyDescent="0.2">
      <c r="A27" t="s">
        <v>9</v>
      </c>
      <c r="B27" s="1">
        <f>+B9</f>
        <v>19359879.670000002</v>
      </c>
    </row>
    <row r="28" spans="1:11" x14ac:dyDescent="0.2">
      <c r="A28" t="s">
        <v>10</v>
      </c>
      <c r="B28" s="1">
        <f>+B22-B27</f>
        <v>22860711.865431622</v>
      </c>
    </row>
    <row r="29" spans="1:11" x14ac:dyDescent="0.2">
      <c r="A29" s="22" t="s">
        <v>106</v>
      </c>
      <c r="B29" s="1">
        <v>2691</v>
      </c>
    </row>
    <row r="30" spans="1:11" x14ac:dyDescent="0.2">
      <c r="A30" t="s">
        <v>11</v>
      </c>
      <c r="B30" s="1">
        <f>+B28/B29</f>
        <v>8495.2478132410342</v>
      </c>
    </row>
  </sheetData>
  <phoneticPr fontId="0" type="noConversion"/>
  <pageMargins left="0.51" right="0.55000000000000004" top="1" bottom="0.56000000000000005" header="0.5" footer="0.5"/>
  <pageSetup orientation="landscape" horizontalDpi="4294967294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pageSetUpPr fitToPage="1"/>
  </sheetPr>
  <dimension ref="A1:K30"/>
  <sheetViews>
    <sheetView zoomScale="75" workbookViewId="0">
      <selection activeCell="A29" sqref="A29:B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10" width="10.28515625" style="1" customWidth="1"/>
    <col min="11" max="11" width="11.42578125" style="1" customWidth="1"/>
  </cols>
  <sheetData>
    <row r="1" spans="1:11" ht="15.75" x14ac:dyDescent="0.25">
      <c r="A1" s="4" t="str">
        <f>+System!$A$1</f>
        <v>MINNESOTA STATE - F.Y. 2024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26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Table'!B20</f>
        <v>18001049.530000001</v>
      </c>
      <c r="C9" s="1">
        <f>'Master Expend Table'!C20</f>
        <v>0</v>
      </c>
      <c r="D9" s="1">
        <f>'Master Expend Table'!D20</f>
        <v>3091303.47</v>
      </c>
      <c r="E9" s="1">
        <f>'Master Expend Table'!E20</f>
        <v>0</v>
      </c>
      <c r="G9" s="1">
        <f>'Master Expend Table'!G20</f>
        <v>3170306.96</v>
      </c>
      <c r="H9" s="1">
        <f>'Master Expend Table'!H20</f>
        <v>3265500</v>
      </c>
      <c r="I9" s="1">
        <f>'Master Expend Table'!I20</f>
        <v>5825416.6600000001</v>
      </c>
      <c r="J9" s="1">
        <f>'Master Expend Table'!J20</f>
        <v>4632836.2</v>
      </c>
      <c r="K9" s="1">
        <f>SUM(B9:J9)</f>
        <v>37986412.82</v>
      </c>
    </row>
    <row r="11" spans="1:11" x14ac:dyDescent="0.2">
      <c r="A11" t="s">
        <v>3</v>
      </c>
      <c r="B11" s="1">
        <f>(B9/($K9-$J9))*-$J$11</f>
        <v>2500358.9525259431</v>
      </c>
      <c r="C11" s="1">
        <f t="shared" ref="C11:I11" si="0">(C9/($K9-$J9))*-$J$11</f>
        <v>0</v>
      </c>
      <c r="D11" s="1">
        <f t="shared" si="0"/>
        <v>429384.31413721095</v>
      </c>
      <c r="E11" s="1">
        <f t="shared" si="0"/>
        <v>0</v>
      </c>
      <c r="G11" s="1">
        <f t="shared" si="0"/>
        <v>440357.95671138889</v>
      </c>
      <c r="H11" s="1">
        <f t="shared" si="0"/>
        <v>453580.33962775656</v>
      </c>
      <c r="I11" s="1">
        <f t="shared" si="0"/>
        <v>809154.63699770055</v>
      </c>
      <c r="J11" s="1">
        <f>-J9</f>
        <v>-4632836.2</v>
      </c>
      <c r="K11" s="1">
        <v>0</v>
      </c>
    </row>
    <row r="12" spans="1:11" x14ac:dyDescent="0.2">
      <c r="A12" t="s">
        <v>4</v>
      </c>
      <c r="B12" s="1">
        <f>+B9+B11</f>
        <v>20501408.482525945</v>
      </c>
      <c r="C12" s="1">
        <f t="shared" ref="C12:J12" si="1">+C9+C11</f>
        <v>0</v>
      </c>
      <c r="D12" s="1">
        <f t="shared" si="1"/>
        <v>3520687.7841372113</v>
      </c>
      <c r="E12" s="1">
        <f t="shared" si="1"/>
        <v>0</v>
      </c>
      <c r="G12" s="1">
        <f t="shared" si="1"/>
        <v>3610664.9167113891</v>
      </c>
      <c r="H12" s="1">
        <f t="shared" si="1"/>
        <v>3719080.3396277567</v>
      </c>
      <c r="I12" s="1">
        <f t="shared" si="1"/>
        <v>6634571.2969977008</v>
      </c>
      <c r="J12" s="1">
        <f t="shared" si="1"/>
        <v>0</v>
      </c>
      <c r="K12" s="1">
        <f>SUM(B12:J12)</f>
        <v>37986412.820000008</v>
      </c>
    </row>
    <row r="14" spans="1:11" x14ac:dyDescent="0.2">
      <c r="A14" t="s">
        <v>5</v>
      </c>
      <c r="B14" s="1">
        <f>B$9/($K$9-$J$9-$I$9)*-I14</f>
        <v>4338439.1365463408</v>
      </c>
      <c r="C14" s="1">
        <f t="shared" ref="C14:H14" si="2">C$9/($K$9-$J$9-$I$9)*-$I$14</f>
        <v>0</v>
      </c>
      <c r="D14" s="1">
        <f t="shared" si="2"/>
        <v>745036.11219103786</v>
      </c>
      <c r="E14" s="1">
        <f t="shared" si="2"/>
        <v>0</v>
      </c>
      <c r="G14" s="1">
        <f t="shared" si="2"/>
        <v>764076.77047979622</v>
      </c>
      <c r="H14" s="1">
        <f t="shared" si="2"/>
        <v>787019.27778052585</v>
      </c>
      <c r="I14" s="1">
        <f>-I12</f>
        <v>-6634571.2969977008</v>
      </c>
      <c r="K14" s="1">
        <v>0</v>
      </c>
    </row>
    <row r="15" spans="1:11" x14ac:dyDescent="0.2">
      <c r="A15" t="s">
        <v>4</v>
      </c>
      <c r="B15" s="1">
        <f>+B12+B14</f>
        <v>24839847.619072285</v>
      </c>
      <c r="C15" s="1">
        <f>+C12+C14</f>
        <v>0</v>
      </c>
      <c r="D15" s="1">
        <f>+D12+D14</f>
        <v>4265723.896328249</v>
      </c>
      <c r="E15" s="1">
        <f>+E12+E14</f>
        <v>0</v>
      </c>
      <c r="G15" s="1">
        <f>+G12+G14</f>
        <v>4374741.6871911855</v>
      </c>
      <c r="H15" s="1">
        <f>+H12+H14</f>
        <v>4506099.6174082831</v>
      </c>
      <c r="I15" s="1">
        <f>+I12+I14</f>
        <v>0</v>
      </c>
      <c r="J15" s="1">
        <f>+J12+J14</f>
        <v>0</v>
      </c>
      <c r="K15" s="1">
        <f>SUM(B15:J15)</f>
        <v>37986412.82</v>
      </c>
    </row>
    <row r="17" spans="1:11" x14ac:dyDescent="0.2">
      <c r="A17" t="s">
        <v>6</v>
      </c>
      <c r="B17" s="1">
        <f>B$9/($K$9-$J$9-$I$9-$H$9)*-$H$17</f>
        <v>3343183.4157428695</v>
      </c>
      <c r="C17" s="1">
        <f>C$9/($K$9-$J$9-$I$9-$H$9)*-$H$17</f>
        <v>0</v>
      </c>
      <c r="D17" s="1">
        <f>D$9/($K$9-$J$9-$I$9-$H$9)*-$H$17</f>
        <v>574121.77421703842</v>
      </c>
      <c r="E17" s="1">
        <f>E$9/($K$9-$J$9-$I$9-$H$9)*-$H$17</f>
        <v>0</v>
      </c>
      <c r="G17" s="1">
        <f>G$9/($K$9-$J$9-$I$9-$H$9)*-$H$17</f>
        <v>588794.42744837503</v>
      </c>
      <c r="H17" s="1">
        <f>-H15</f>
        <v>-4506099.6174082831</v>
      </c>
      <c r="K17" s="1">
        <v>0</v>
      </c>
    </row>
    <row r="18" spans="1:11" x14ac:dyDescent="0.2">
      <c r="A18" t="s">
        <v>4</v>
      </c>
      <c r="B18" s="1">
        <f>+B15+B17</f>
        <v>28183031.034815155</v>
      </c>
      <c r="C18" s="1">
        <f>+C15+C17</f>
        <v>0</v>
      </c>
      <c r="D18" s="1">
        <f>+D15+D17</f>
        <v>4839845.6705452874</v>
      </c>
      <c r="E18" s="1">
        <f>+E15+E17</f>
        <v>0</v>
      </c>
      <c r="G18" s="1">
        <f>+G15+G17</f>
        <v>4963536.1146395607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37986412.82</v>
      </c>
    </row>
    <row r="20" spans="1:11" x14ac:dyDescent="0.2">
      <c r="A20" t="s">
        <v>7</v>
      </c>
      <c r="B20" s="1">
        <f>B$9/($K$9-$J$9-$I$9-$H$9-$G$9)*-$G$20</f>
        <v>4236078.3286516443</v>
      </c>
      <c r="C20" s="1">
        <f>C$9/($K$9-$J$9-$I$9-$H$9-$G$9)*-$G$20</f>
        <v>0</v>
      </c>
      <c r="D20" s="1">
        <f>D$9/($K$9-$J$9-$I$9-$H$9-$G$9)*-$G$20</f>
        <v>727457.78598791675</v>
      </c>
      <c r="E20" s="1">
        <f>E$9/($K$9-$J$9-$I$9-$H$9-$G$9)*-$G$20</f>
        <v>0</v>
      </c>
      <c r="G20" s="1">
        <f>-G18</f>
        <v>-4963536.1146395607</v>
      </c>
      <c r="K20" s="1">
        <f>SUM(B20:J20)</f>
        <v>0</v>
      </c>
    </row>
    <row r="22" spans="1:11" x14ac:dyDescent="0.2">
      <c r="A22" t="s">
        <v>8</v>
      </c>
      <c r="B22" s="1">
        <f>+B20+B18</f>
        <v>32419109.363466799</v>
      </c>
      <c r="C22" s="1">
        <f t="shared" ref="C22:K22" si="3">+C20+C18</f>
        <v>0</v>
      </c>
      <c r="D22" s="1">
        <f t="shared" si="3"/>
        <v>5567303.4565332038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37986412.82</v>
      </c>
    </row>
    <row r="27" spans="1:11" x14ac:dyDescent="0.2">
      <c r="A27" t="s">
        <v>9</v>
      </c>
      <c r="B27" s="1">
        <f>+B9</f>
        <v>18001049.530000001</v>
      </c>
    </row>
    <row r="28" spans="1:11" x14ac:dyDescent="0.2">
      <c r="A28" t="s">
        <v>10</v>
      </c>
      <c r="B28" s="1">
        <f>+B22-B27</f>
        <v>14418059.833466798</v>
      </c>
    </row>
    <row r="29" spans="1:11" x14ac:dyDescent="0.2">
      <c r="A29" s="22" t="s">
        <v>106</v>
      </c>
      <c r="B29" s="1">
        <v>2445</v>
      </c>
    </row>
    <row r="30" spans="1:11" x14ac:dyDescent="0.2">
      <c r="A30" t="s">
        <v>11</v>
      </c>
      <c r="B30" s="1">
        <f>+B28/B29</f>
        <v>5896.9569871029853</v>
      </c>
    </row>
  </sheetData>
  <phoneticPr fontId="0" type="noConversion"/>
  <pageMargins left="0.49" right="0.55000000000000004" top="1" bottom="0.51" header="0.5" footer="0.5"/>
  <pageSetup orientation="landscape" horizontalDpi="4294967294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6">
    <pageSetUpPr fitToPage="1"/>
  </sheetPr>
  <dimension ref="A1:K30"/>
  <sheetViews>
    <sheetView zoomScale="75" workbookViewId="0">
      <selection activeCell="A29" sqref="A29:B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1.140625" style="1" customWidth="1"/>
    <col min="8" max="10" width="10.28515625" style="1" customWidth="1"/>
    <col min="11" max="11" width="13" style="1" customWidth="1"/>
  </cols>
  <sheetData>
    <row r="1" spans="1:11" ht="15.75" x14ac:dyDescent="0.25">
      <c r="A1" s="4" t="str">
        <f>+System!$A$1</f>
        <v>MINNESOTA STATE - F.Y. 2024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49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Table'!B21</f>
        <v>32191117.359999999</v>
      </c>
      <c r="C9" s="1">
        <f>'Master Expend Table'!C21</f>
        <v>472672.81</v>
      </c>
      <c r="D9" s="1">
        <f>'Master Expend Table'!D21</f>
        <v>127203.7</v>
      </c>
      <c r="E9" s="1">
        <f>'Master Expend Table'!E21</f>
        <v>0</v>
      </c>
      <c r="G9" s="1">
        <f>'Master Expend Table'!G21</f>
        <v>23794869.66</v>
      </c>
      <c r="H9" s="1">
        <f>'Master Expend Table'!H21</f>
        <v>5927107.0499999998</v>
      </c>
      <c r="I9" s="1">
        <f>'Master Expend Table'!I21</f>
        <v>16965625.829999998</v>
      </c>
      <c r="J9" s="1">
        <f>'Master Expend Table'!J21</f>
        <v>6638243.2999999998</v>
      </c>
      <c r="K9" s="1">
        <f>SUM(B9:J9)</f>
        <v>86116839.709999993</v>
      </c>
    </row>
    <row r="11" spans="1:11" x14ac:dyDescent="0.2">
      <c r="A11" t="s">
        <v>3</v>
      </c>
      <c r="B11" s="1">
        <f>(B9/($K9-$J9))*-$J$11</f>
        <v>2688679.4531722115</v>
      </c>
      <c r="C11" s="1">
        <f t="shared" ref="C11:I11" si="0">(C9/($K9-$J9))*-$J$11</f>
        <v>39478.768571709268</v>
      </c>
      <c r="D11" s="1">
        <f t="shared" si="0"/>
        <v>10624.358599694224</v>
      </c>
      <c r="E11" s="1">
        <f t="shared" si="0"/>
        <v>0</v>
      </c>
      <c r="G11" s="1">
        <f t="shared" si="0"/>
        <v>1987404.6753421812</v>
      </c>
      <c r="H11" s="1">
        <f t="shared" si="0"/>
        <v>495046.219237143</v>
      </c>
      <c r="I11" s="1">
        <f t="shared" si="0"/>
        <v>1417009.8250770611</v>
      </c>
      <c r="J11" s="1">
        <f>-J9</f>
        <v>-6638243.2999999998</v>
      </c>
      <c r="K11" s="1">
        <v>0</v>
      </c>
    </row>
    <row r="12" spans="1:11" x14ac:dyDescent="0.2">
      <c r="A12" t="s">
        <v>4</v>
      </c>
      <c r="B12" s="1">
        <f>+B9+B11</f>
        <v>34879796.813172214</v>
      </c>
      <c r="C12" s="1">
        <f t="shared" ref="C12:J12" si="1">+C9+C11</f>
        <v>512151.57857170928</v>
      </c>
      <c r="D12" s="1">
        <f t="shared" si="1"/>
        <v>137828.05859969422</v>
      </c>
      <c r="E12" s="1">
        <f t="shared" si="1"/>
        <v>0</v>
      </c>
      <c r="G12" s="1">
        <f t="shared" si="1"/>
        <v>25782274.33534218</v>
      </c>
      <c r="H12" s="1">
        <f t="shared" si="1"/>
        <v>6422153.269237143</v>
      </c>
      <c r="I12" s="1">
        <f t="shared" si="1"/>
        <v>18382635.655077059</v>
      </c>
      <c r="J12" s="1">
        <f t="shared" si="1"/>
        <v>0</v>
      </c>
      <c r="K12" s="1">
        <f>SUM(B12:J12)</f>
        <v>86116839.709999993</v>
      </c>
    </row>
    <row r="14" spans="1:11" x14ac:dyDescent="0.2">
      <c r="A14" t="s">
        <v>5</v>
      </c>
      <c r="B14" s="1">
        <f>B$9/($K$9-$J$9-$I$9)*-I14</f>
        <v>9466156.8034335133</v>
      </c>
      <c r="C14" s="1">
        <f t="shared" ref="C14:H14" si="2">C$9/($K$9-$J$9-$I$9)*-$I$14</f>
        <v>138994.70733312677</v>
      </c>
      <c r="D14" s="1">
        <f t="shared" si="2"/>
        <v>37405.665566400698</v>
      </c>
      <c r="E14" s="1">
        <f t="shared" si="2"/>
        <v>0</v>
      </c>
      <c r="G14" s="1">
        <f t="shared" si="2"/>
        <v>6997146.597921716</v>
      </c>
      <c r="H14" s="1">
        <f t="shared" si="2"/>
        <v>1742931.8808223016</v>
      </c>
      <c r="I14" s="1">
        <f>-I12</f>
        <v>-18382635.655077059</v>
      </c>
      <c r="K14" s="1">
        <v>0</v>
      </c>
    </row>
    <row r="15" spans="1:11" x14ac:dyDescent="0.2">
      <c r="A15" t="s">
        <v>4</v>
      </c>
      <c r="B15" s="1">
        <f>+B12+B14</f>
        <v>44345953.616605729</v>
      </c>
      <c r="C15" s="1">
        <f>+C12+C14</f>
        <v>651146.28590483603</v>
      </c>
      <c r="D15" s="1">
        <f>+D12+D14</f>
        <v>175233.72416609491</v>
      </c>
      <c r="E15" s="1">
        <f>+E12+E14</f>
        <v>0</v>
      </c>
      <c r="G15" s="1">
        <f>+G12+G14</f>
        <v>32779420.933263898</v>
      </c>
      <c r="H15" s="1">
        <f>+H12+H14</f>
        <v>8165085.1500594448</v>
      </c>
      <c r="I15" s="1">
        <f>+I12+I14</f>
        <v>0</v>
      </c>
      <c r="J15" s="1">
        <f>+J12+J14</f>
        <v>0</v>
      </c>
      <c r="K15" s="1">
        <f>SUM(B15:J15)</f>
        <v>86116839.710000008</v>
      </c>
    </row>
    <row r="17" spans="1:11" x14ac:dyDescent="0.2">
      <c r="A17" t="s">
        <v>6</v>
      </c>
      <c r="B17" s="1">
        <f>B$9/($K$9-$J$9-$I$9-$H$9)*-$H$17</f>
        <v>4645033.1924440069</v>
      </c>
      <c r="C17" s="1">
        <f>C$9/($K$9-$J$9-$I$9-$H$9)*-$H$17</f>
        <v>68204.556774533135</v>
      </c>
      <c r="D17" s="1">
        <f>D$9/($K$9-$J$9-$I$9-$H$9)*-$H$17</f>
        <v>18354.9207718986</v>
      </c>
      <c r="E17" s="1">
        <f>E$9/($K$9-$J$9-$I$9-$H$9)*-$H$17</f>
        <v>0</v>
      </c>
      <c r="G17" s="1">
        <f>G$9/($K$9-$J$9-$I$9-$H$9)*-$H$17</f>
        <v>3433492.4800690063</v>
      </c>
      <c r="H17" s="1">
        <f>-H15</f>
        <v>-8165085.1500594448</v>
      </c>
      <c r="K17" s="1">
        <v>0</v>
      </c>
    </row>
    <row r="18" spans="1:11" x14ac:dyDescent="0.2">
      <c r="A18" t="s">
        <v>4</v>
      </c>
      <c r="B18" s="1">
        <f>+B15+B17</f>
        <v>48990986.809049733</v>
      </c>
      <c r="C18" s="1">
        <f>+C15+C17</f>
        <v>719350.84267936915</v>
      </c>
      <c r="D18" s="1">
        <f>+D15+D17</f>
        <v>193588.64493799349</v>
      </c>
      <c r="E18" s="1">
        <f>+E15+E17</f>
        <v>0</v>
      </c>
      <c r="G18" s="1">
        <f>+G15+G17</f>
        <v>36212913.413332902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86116839.709999993</v>
      </c>
    </row>
    <row r="20" spans="1:11" x14ac:dyDescent="0.2">
      <c r="A20" t="s">
        <v>7</v>
      </c>
      <c r="B20" s="1">
        <f>B$9/($K$9-$J$9-$I$9-$H$9-$G$9)*-$G$20</f>
        <v>35550436.508807093</v>
      </c>
      <c r="C20" s="1">
        <f>C$9/($K$9-$J$9-$I$9-$H$9-$G$9)*-$G$20</f>
        <v>521998.80275744607</v>
      </c>
      <c r="D20" s="1">
        <f>D$9/($K$9-$J$9-$I$9-$H$9-$G$9)*-$G$20</f>
        <v>140478.10176836138</v>
      </c>
      <c r="E20" s="1">
        <f>E$9/($K$9-$J$9-$I$9-$H$9-$G$9)*-$G$20</f>
        <v>0</v>
      </c>
      <c r="G20" s="1">
        <f>-G18</f>
        <v>-36212913.413332902</v>
      </c>
      <c r="K20" s="1">
        <f>SUM(B20:J20)</f>
        <v>0</v>
      </c>
    </row>
    <row r="22" spans="1:11" x14ac:dyDescent="0.2">
      <c r="A22" t="s">
        <v>8</v>
      </c>
      <c r="B22" s="1">
        <f>+B20+B18</f>
        <v>84541423.317856818</v>
      </c>
      <c r="C22" s="1">
        <f t="shared" ref="C22:K22" si="3">+C20+C18</f>
        <v>1241349.6454368152</v>
      </c>
      <c r="D22" s="1">
        <f t="shared" si="3"/>
        <v>334066.7467063549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86116839.709999993</v>
      </c>
    </row>
    <row r="27" spans="1:11" x14ac:dyDescent="0.2">
      <c r="A27" t="s">
        <v>9</v>
      </c>
      <c r="B27" s="1">
        <f>+B9</f>
        <v>32191117.359999999</v>
      </c>
    </row>
    <row r="28" spans="1:11" x14ac:dyDescent="0.2">
      <c r="A28" t="s">
        <v>10</v>
      </c>
      <c r="B28" s="1">
        <f>+B22-B27</f>
        <v>52350305.957856819</v>
      </c>
    </row>
    <row r="29" spans="1:11" x14ac:dyDescent="0.2">
      <c r="A29" s="22" t="s">
        <v>106</v>
      </c>
      <c r="B29" s="1">
        <v>4832</v>
      </c>
    </row>
    <row r="30" spans="1:11" x14ac:dyDescent="0.2">
      <c r="A30" t="s">
        <v>11</v>
      </c>
      <c r="B30" s="1">
        <f>+B28/B29</f>
        <v>10834.086497900831</v>
      </c>
    </row>
  </sheetData>
  <phoneticPr fontId="0" type="noConversion"/>
  <pageMargins left="0.63" right="0.55000000000000004" top="1" bottom="0.55000000000000004" header="0.5" footer="0.5"/>
  <pageSetup scale="10" orientation="landscape" horizontalDpi="4294967294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pageSetUpPr fitToPage="1"/>
  </sheetPr>
  <dimension ref="A1:K30"/>
  <sheetViews>
    <sheetView zoomScale="75" workbookViewId="0">
      <selection activeCell="A29" sqref="A29:B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10" width="10.28515625" style="1" customWidth="1"/>
    <col min="11" max="11" width="14" style="1" customWidth="1"/>
  </cols>
  <sheetData>
    <row r="1" spans="1:11" ht="15.75" x14ac:dyDescent="0.25">
      <c r="A1" s="4" t="str">
        <f>+System!$A$1</f>
        <v>MINNESOTA STATE - F.Y. 2024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88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Table'!B22</f>
        <v>22245928.129999999</v>
      </c>
      <c r="C9" s="1">
        <f>'Master Expend Table'!C22</f>
        <v>0</v>
      </c>
      <c r="D9" s="1">
        <f>'Master Expend Table'!D22</f>
        <v>1058323.8500000001</v>
      </c>
      <c r="E9" s="1">
        <f>'Master Expend Table'!E22</f>
        <v>0</v>
      </c>
      <c r="G9" s="1">
        <f>'Master Expend Table'!G22</f>
        <v>8152297.6900000004</v>
      </c>
      <c r="H9" s="1">
        <f>'Master Expend Table'!H22</f>
        <v>7105993.6100000003</v>
      </c>
      <c r="I9" s="1">
        <f>'Master Expend Table'!I22</f>
        <v>8923352.4700000007</v>
      </c>
      <c r="J9" s="1">
        <f>'Master Expend Table'!J22</f>
        <v>6876515.9800000004</v>
      </c>
      <c r="K9" s="1">
        <f>SUM(B9:J9)</f>
        <v>54362411.730000004</v>
      </c>
    </row>
    <row r="11" spans="1:11" x14ac:dyDescent="0.2">
      <c r="A11" t="s">
        <v>3</v>
      </c>
      <c r="B11" s="1">
        <f>(B9/($K9-$J9))*-$J$11</f>
        <v>3221471.9309759787</v>
      </c>
      <c r="C11" s="1">
        <f t="shared" ref="C11:I11" si="0">(C9/($K9-$J9))*-$J$11</f>
        <v>0</v>
      </c>
      <c r="D11" s="1">
        <f t="shared" si="0"/>
        <v>153257.73583075192</v>
      </c>
      <c r="E11" s="1">
        <f t="shared" si="0"/>
        <v>0</v>
      </c>
      <c r="G11" s="1">
        <f t="shared" si="0"/>
        <v>1180548.5492816484</v>
      </c>
      <c r="H11" s="1">
        <f t="shared" si="0"/>
        <v>1029031.4174592125</v>
      </c>
      <c r="I11" s="1">
        <f t="shared" si="0"/>
        <v>1292206.3464524092</v>
      </c>
      <c r="J11" s="1">
        <f>-J9</f>
        <v>-6876515.9800000004</v>
      </c>
      <c r="K11" s="1">
        <v>0</v>
      </c>
    </row>
    <row r="12" spans="1:11" x14ac:dyDescent="0.2">
      <c r="A12" t="s">
        <v>4</v>
      </c>
      <c r="B12" s="1">
        <f>+B9+B11</f>
        <v>25467400.060975976</v>
      </c>
      <c r="C12" s="1">
        <f t="shared" ref="C12:J12" si="1">+C9+C11</f>
        <v>0</v>
      </c>
      <c r="D12" s="1">
        <f t="shared" si="1"/>
        <v>1211581.585830752</v>
      </c>
      <c r="E12" s="1">
        <f t="shared" si="1"/>
        <v>0</v>
      </c>
      <c r="G12" s="1">
        <f t="shared" si="1"/>
        <v>9332846.2392816488</v>
      </c>
      <c r="H12" s="1">
        <f t="shared" si="1"/>
        <v>8135025.0274592126</v>
      </c>
      <c r="I12" s="1">
        <f t="shared" si="1"/>
        <v>10215558.81645241</v>
      </c>
      <c r="J12" s="1">
        <f t="shared" si="1"/>
        <v>0</v>
      </c>
      <c r="K12" s="1">
        <f>SUM(B12:J12)</f>
        <v>54362411.730000004</v>
      </c>
    </row>
    <row r="14" spans="1:11" x14ac:dyDescent="0.2">
      <c r="A14" t="s">
        <v>5</v>
      </c>
      <c r="B14" s="1">
        <f>B$9/($K$9-$J$9-$I$9)*-I14</f>
        <v>5893143.1360350922</v>
      </c>
      <c r="C14" s="1">
        <f t="shared" ref="C14:H14" si="2">C$9/($K$9-$J$9-$I$9)*-$I$14</f>
        <v>0</v>
      </c>
      <c r="D14" s="1">
        <f t="shared" si="2"/>
        <v>280359.34917540941</v>
      </c>
      <c r="E14" s="1">
        <f t="shared" si="2"/>
        <v>0</v>
      </c>
      <c r="G14" s="1">
        <f t="shared" si="2"/>
        <v>2159615.7685122504</v>
      </c>
      <c r="H14" s="1">
        <f t="shared" si="2"/>
        <v>1882440.5627296579</v>
      </c>
      <c r="I14" s="1">
        <f>-I12</f>
        <v>-10215558.81645241</v>
      </c>
      <c r="K14" s="1">
        <v>0</v>
      </c>
    </row>
    <row r="15" spans="1:11" x14ac:dyDescent="0.2">
      <c r="A15" t="s">
        <v>4</v>
      </c>
      <c r="B15" s="1">
        <f>+B12+B14</f>
        <v>31360543.197011068</v>
      </c>
      <c r="C15" s="1">
        <f>+C12+C14</f>
        <v>0</v>
      </c>
      <c r="D15" s="1">
        <f>+D12+D14</f>
        <v>1491940.9350061615</v>
      </c>
      <c r="E15" s="1">
        <f>+E12+E14</f>
        <v>0</v>
      </c>
      <c r="G15" s="1">
        <f>+G12+G14</f>
        <v>11492462.0077939</v>
      </c>
      <c r="H15" s="1">
        <f>+H12+H14</f>
        <v>10017465.59018887</v>
      </c>
      <c r="I15" s="1">
        <f>+I12+I14</f>
        <v>0</v>
      </c>
      <c r="J15" s="1">
        <f>+J12+J14</f>
        <v>0</v>
      </c>
      <c r="K15" s="1">
        <f>SUM(B15:J15)</f>
        <v>54362411.729999997</v>
      </c>
    </row>
    <row r="17" spans="1:11" x14ac:dyDescent="0.2">
      <c r="A17" t="s">
        <v>6</v>
      </c>
      <c r="B17" s="1">
        <f>B$9/($K$9-$J$9-$I$9-$H$9)*-$H$17</f>
        <v>7084305.8727645138</v>
      </c>
      <c r="C17" s="1">
        <f>C$9/($K$9-$J$9-$I$9-$H$9)*-$H$17</f>
        <v>0</v>
      </c>
      <c r="D17" s="1">
        <f>D$9/($K$9-$J$9-$I$9-$H$9)*-$H$17</f>
        <v>337027.5145198786</v>
      </c>
      <c r="E17" s="1">
        <f>E$9/($K$9-$J$9-$I$9-$H$9)*-$H$17</f>
        <v>0</v>
      </c>
      <c r="G17" s="1">
        <f>G$9/($K$9-$J$9-$I$9-$H$9)*-$H$17</f>
        <v>2596132.2029044777</v>
      </c>
      <c r="H17" s="1">
        <f>-H15</f>
        <v>-10017465.59018887</v>
      </c>
      <c r="K17" s="1">
        <v>0</v>
      </c>
    </row>
    <row r="18" spans="1:11" x14ac:dyDescent="0.2">
      <c r="A18" t="s">
        <v>4</v>
      </c>
      <c r="B18" s="1">
        <f>+B15+B17</f>
        <v>38444849.069775581</v>
      </c>
      <c r="C18" s="1">
        <f>+C15+C17</f>
        <v>0</v>
      </c>
      <c r="D18" s="1">
        <f>+D15+D17</f>
        <v>1828968.4495260401</v>
      </c>
      <c r="E18" s="1">
        <f>+E15+E17</f>
        <v>0</v>
      </c>
      <c r="G18" s="1">
        <f>+G15+G17</f>
        <v>14088594.210698377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54362411.730000004</v>
      </c>
    </row>
    <row r="20" spans="1:11" x14ac:dyDescent="0.2">
      <c r="A20" t="s">
        <v>7</v>
      </c>
      <c r="B20" s="1">
        <f>B$9/($K$9-$J$9-$I$9-$H$9-$G$9)*-$G$20</f>
        <v>13448784.133166164</v>
      </c>
      <c r="C20" s="1">
        <f>C$9/($K$9-$J$9-$I$9-$H$9-$G$9)*-$G$20</f>
        <v>0</v>
      </c>
      <c r="D20" s="1">
        <f>D$9/($K$9-$J$9-$I$9-$H$9-$G$9)*-$G$20</f>
        <v>639810.0775322126</v>
      </c>
      <c r="E20" s="1">
        <f>E$9/($K$9-$J$9-$I$9-$H$9-$G$9)*-$G$20</f>
        <v>0</v>
      </c>
      <c r="G20" s="1">
        <f>-G18</f>
        <v>-14088594.210698377</v>
      </c>
      <c r="K20" s="1">
        <f>SUM(B20:J20)</f>
        <v>0</v>
      </c>
    </row>
    <row r="22" spans="1:11" x14ac:dyDescent="0.2">
      <c r="A22" t="s">
        <v>8</v>
      </c>
      <c r="B22" s="1">
        <f>+B20+B18</f>
        <v>51893633.202941746</v>
      </c>
      <c r="C22" s="1">
        <f t="shared" ref="C22:K22" si="3">+C20+C18</f>
        <v>0</v>
      </c>
      <c r="D22" s="1">
        <f t="shared" si="3"/>
        <v>2468778.5270582526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54362411.730000004</v>
      </c>
    </row>
    <row r="27" spans="1:11" x14ac:dyDescent="0.2">
      <c r="A27" t="s">
        <v>9</v>
      </c>
      <c r="B27" s="1">
        <f>+B9</f>
        <v>22245928.129999999</v>
      </c>
    </row>
    <row r="28" spans="1:11" x14ac:dyDescent="0.2">
      <c r="A28" t="s">
        <v>10</v>
      </c>
      <c r="B28" s="1">
        <f>+B22-B27</f>
        <v>29647705.072941747</v>
      </c>
    </row>
    <row r="29" spans="1:11" x14ac:dyDescent="0.2">
      <c r="A29" s="22" t="s">
        <v>106</v>
      </c>
      <c r="B29" s="1">
        <v>4167</v>
      </c>
    </row>
    <row r="30" spans="1:11" x14ac:dyDescent="0.2">
      <c r="A30" t="s">
        <v>11</v>
      </c>
      <c r="B30" s="1">
        <f>+B28/B29</f>
        <v>7114.8800271038508</v>
      </c>
    </row>
  </sheetData>
  <phoneticPr fontId="0" type="noConversion"/>
  <pageMargins left="0.59" right="0.55000000000000004" top="1" bottom="0.56000000000000005" header="0.5" footer="0.5"/>
  <pageSetup scale="10" orientation="landscape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30"/>
  <sheetViews>
    <sheetView zoomScale="110" zoomScaleNormal="110" workbookViewId="0">
      <selection activeCell="A29" sqref="A29:B29"/>
    </sheetView>
  </sheetViews>
  <sheetFormatPr defaultRowHeight="12.75" x14ac:dyDescent="0.2"/>
  <cols>
    <col min="1" max="1" width="24.5703125" customWidth="1"/>
    <col min="2" max="2" width="14.28515625" style="1" customWidth="1"/>
    <col min="3" max="3" width="11.28515625" style="1" customWidth="1"/>
    <col min="4" max="4" width="11" style="1" customWidth="1"/>
    <col min="5" max="5" width="11.140625" style="1" customWidth="1"/>
    <col min="6" max="6" width="2.7109375" style="1" customWidth="1"/>
    <col min="7" max="7" width="13.5703125" style="1" bestFit="1" customWidth="1"/>
    <col min="8" max="9" width="13.28515625" style="1" bestFit="1" customWidth="1"/>
    <col min="10" max="10" width="12.42578125" style="1" customWidth="1"/>
    <col min="11" max="11" width="13" style="1" customWidth="1"/>
  </cols>
  <sheetData>
    <row r="1" spans="1:11" ht="15.75" x14ac:dyDescent="0.25">
      <c r="A1" s="4" t="s">
        <v>105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60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+'Master Expend Table'!B43</f>
        <v>727091790.68999994</v>
      </c>
      <c r="C9" s="1">
        <f>+'Master Expend Table'!C43</f>
        <v>3846355.7299999995</v>
      </c>
      <c r="D9" s="1">
        <f>+'Master Expend Table'!D43</f>
        <v>33048210.98</v>
      </c>
      <c r="E9" s="1">
        <f>+'Master Expend Table'!E43</f>
        <v>40148206.5</v>
      </c>
      <c r="G9" s="1">
        <f>+'Master Expend Table'!G43</f>
        <v>244423352.96999997</v>
      </c>
      <c r="H9" s="1">
        <f>+'Master Expend Table'!H43</f>
        <v>189695566.72</v>
      </c>
      <c r="I9" s="1">
        <f>+'Master Expend Table'!I43</f>
        <v>256601503.24000007</v>
      </c>
      <c r="J9" s="1">
        <f>+'Master Expend Table'!J43</f>
        <v>166299050.64999998</v>
      </c>
      <c r="K9" s="1">
        <f>SUM(B9:J9)</f>
        <v>1661154037.48</v>
      </c>
    </row>
    <row r="11" spans="1:11" x14ac:dyDescent="0.2">
      <c r="A11" t="s">
        <v>3</v>
      </c>
      <c r="B11" s="1">
        <f>(B9/($K9-$J9))*-$J$11</f>
        <v>80887226.916617513</v>
      </c>
      <c r="C11" s="1">
        <f t="shared" ref="C11:I11" si="0">(C9/($K9-$J9))*-$J$11</f>
        <v>427897.89778714516</v>
      </c>
      <c r="D11" s="1">
        <f t="shared" si="0"/>
        <v>3676534.6204647715</v>
      </c>
      <c r="E11" s="1">
        <f t="shared" si="0"/>
        <v>4466392.1818989422</v>
      </c>
      <c r="G11" s="1">
        <f t="shared" si="0"/>
        <v>27191514.838371012</v>
      </c>
      <c r="H11" s="1">
        <f t="shared" si="0"/>
        <v>21103179.195292253</v>
      </c>
      <c r="I11" s="1">
        <f t="shared" si="0"/>
        <v>28546304.999568347</v>
      </c>
      <c r="J11" s="1">
        <f>-J9</f>
        <v>-166299050.64999998</v>
      </c>
      <c r="K11" s="1">
        <v>0</v>
      </c>
    </row>
    <row r="12" spans="1:11" x14ac:dyDescent="0.2">
      <c r="A12" t="s">
        <v>4</v>
      </c>
      <c r="B12" s="1">
        <f>+B9+B11</f>
        <v>807979017.60661745</v>
      </c>
      <c r="C12" s="1">
        <f t="shared" ref="C12:J12" si="1">+C9+C11</f>
        <v>4274253.6277871449</v>
      </c>
      <c r="D12" s="1">
        <f t="shared" si="1"/>
        <v>36724745.600464769</v>
      </c>
      <c r="E12" s="1">
        <f t="shared" si="1"/>
        <v>44614598.681898944</v>
      </c>
      <c r="G12" s="1">
        <f t="shared" si="1"/>
        <v>271614867.80837101</v>
      </c>
      <c r="H12" s="1">
        <f t="shared" si="1"/>
        <v>210798745.91529226</v>
      </c>
      <c r="I12" s="1">
        <f t="shared" si="1"/>
        <v>285147808.23956841</v>
      </c>
      <c r="J12" s="1">
        <f t="shared" si="1"/>
        <v>0</v>
      </c>
      <c r="K12" s="1">
        <f>SUM(B12:J12)</f>
        <v>1661154037.48</v>
      </c>
    </row>
    <row r="14" spans="1:11" x14ac:dyDescent="0.2">
      <c r="A14" t="s">
        <v>5</v>
      </c>
      <c r="B14" s="1">
        <f>B$9/($K$9-$J$9-$I$9)*-I14</f>
        <v>167436339.36981955</v>
      </c>
      <c r="C14" s="1">
        <f t="shared" ref="C14:H14" si="2">C$9/($K$9-$J$9-$I$9)*-$I$14</f>
        <v>885747.48276852944</v>
      </c>
      <c r="D14" s="1">
        <f t="shared" si="2"/>
        <v>7610416.6489921305</v>
      </c>
      <c r="E14" s="1">
        <f t="shared" si="2"/>
        <v>9245419.6494836733</v>
      </c>
      <c r="G14" s="1">
        <f t="shared" si="2"/>
        <v>56286361.642120205</v>
      </c>
      <c r="H14" s="1">
        <f t="shared" si="2"/>
        <v>43683523.446384311</v>
      </c>
      <c r="I14" s="1">
        <f>-I12</f>
        <v>-285147808.23956841</v>
      </c>
      <c r="K14" s="1">
        <v>0</v>
      </c>
    </row>
    <row r="15" spans="1:11" x14ac:dyDescent="0.2">
      <c r="A15" t="s">
        <v>4</v>
      </c>
      <c r="B15" s="1">
        <f>+B12+B14</f>
        <v>975415356.97643697</v>
      </c>
      <c r="C15" s="1">
        <f>+C12+C14</f>
        <v>5160001.1105556739</v>
      </c>
      <c r="D15" s="1">
        <f>+D12+D14</f>
        <v>44335162.249456897</v>
      </c>
      <c r="E15" s="1">
        <f>+E12+E14</f>
        <v>53860018.331382617</v>
      </c>
      <c r="G15" s="1">
        <f>+G12+G14</f>
        <v>327901229.45049119</v>
      </c>
      <c r="H15" s="1">
        <f>+H12+H14</f>
        <v>254482269.36167657</v>
      </c>
      <c r="I15" s="1">
        <f>+I12+I14</f>
        <v>0</v>
      </c>
      <c r="J15" s="1">
        <f>+J12+J14</f>
        <v>0</v>
      </c>
      <c r="K15" s="1">
        <f>SUM(B15:J15)</f>
        <v>1661154037.48</v>
      </c>
    </row>
    <row r="17" spans="1:11" x14ac:dyDescent="0.2">
      <c r="A17" t="s">
        <v>6</v>
      </c>
      <c r="B17" s="1">
        <f>B$9/($K$9-$J$9-$I$9-$H$9)*-$H$17</f>
        <v>176463279.66448092</v>
      </c>
      <c r="C17" s="1">
        <f>C$9/($K$9-$J$9-$I$9-$H$9)*-$H$17</f>
        <v>933500.49548483186</v>
      </c>
      <c r="D17" s="1">
        <f>D$9/($K$9-$J$9-$I$9-$H$9)*-$H$17</f>
        <v>8020714.5387244942</v>
      </c>
      <c r="E17" s="1">
        <f>E$9/($K$9-$J$9-$I$9-$H$9)*-$H$17</f>
        <v>9743864.9182293266</v>
      </c>
      <c r="G17" s="1">
        <f>G$9/($K$9-$J$9-$I$9-$H$9)*-$H$17</f>
        <v>59320909.744757004</v>
      </c>
      <c r="H17" s="1">
        <f>-H15</f>
        <v>-254482269.36167657</v>
      </c>
      <c r="K17" s="1">
        <v>0</v>
      </c>
    </row>
    <row r="18" spans="1:11" x14ac:dyDescent="0.2">
      <c r="A18" t="s">
        <v>4</v>
      </c>
      <c r="B18" s="1">
        <f>+B15+B17</f>
        <v>1151878636.6409178</v>
      </c>
      <c r="C18" s="1">
        <f>+C15+C17</f>
        <v>6093501.6060405057</v>
      </c>
      <c r="D18" s="1">
        <f>+D15+D17</f>
        <v>52355876.788181394</v>
      </c>
      <c r="E18" s="1">
        <f>+E15+E17</f>
        <v>63603883.249611944</v>
      </c>
      <c r="G18" s="1">
        <f>+G15+G17</f>
        <v>387222139.19524819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1661154037.4799995</v>
      </c>
    </row>
    <row r="20" spans="1:11" x14ac:dyDescent="0.2">
      <c r="A20" t="s">
        <v>7</v>
      </c>
      <c r="B20" s="1">
        <f>B$9/($K$9-$J$9-$I$9-$H$9-$G$9)*-$G$20</f>
        <v>350123040.62246197</v>
      </c>
      <c r="C20" s="1">
        <f>C$9/($K$9-$J$9-$I$9-$H$9-$G$9)*-$G$20</f>
        <v>1852170.2221740559</v>
      </c>
      <c r="D20" s="1">
        <f>D$9/($K$9-$J$9-$I$9-$H$9-$G$9)*-$G$20</f>
        <v>15914001.868277973</v>
      </c>
      <c r="E20" s="1">
        <f>E$9/($K$9-$J$9-$I$9-$H$9-$G$9)*-$G$20</f>
        <v>19332926.482334197</v>
      </c>
      <c r="G20" s="1">
        <f>-G18</f>
        <v>-387222139.19524819</v>
      </c>
      <c r="K20" s="1">
        <f>SUM(B20:J20)</f>
        <v>0</v>
      </c>
    </row>
    <row r="22" spans="1:11" x14ac:dyDescent="0.2">
      <c r="A22" t="s">
        <v>8</v>
      </c>
      <c r="B22" s="1">
        <f>+B20+B18</f>
        <v>1502001677.2633798</v>
      </c>
      <c r="C22" s="1">
        <f t="shared" ref="C22:K22" si="3">+C20+C18</f>
        <v>7945671.8282145616</v>
      </c>
      <c r="D22" s="1">
        <f t="shared" si="3"/>
        <v>68269878.656459361</v>
      </c>
      <c r="E22" s="1">
        <f t="shared" si="3"/>
        <v>82936809.731946141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1661154037.4799995</v>
      </c>
    </row>
    <row r="27" spans="1:11" x14ac:dyDescent="0.2">
      <c r="A27" t="s">
        <v>9</v>
      </c>
      <c r="B27" s="1">
        <f>+B9</f>
        <v>727091790.68999994</v>
      </c>
    </row>
    <row r="28" spans="1:11" x14ac:dyDescent="0.2">
      <c r="A28" t="s">
        <v>10</v>
      </c>
      <c r="B28" s="1">
        <f>+B22-B27</f>
        <v>774909886.57337987</v>
      </c>
    </row>
    <row r="29" spans="1:11" x14ac:dyDescent="0.2">
      <c r="A29" s="22" t="s">
        <v>106</v>
      </c>
      <c r="B29" s="1">
        <v>108089</v>
      </c>
    </row>
    <row r="30" spans="1:11" x14ac:dyDescent="0.2">
      <c r="A30" t="s">
        <v>11</v>
      </c>
      <c r="B30" s="1">
        <f>+B28/B29</f>
        <v>7169.1836040057715</v>
      </c>
    </row>
  </sheetData>
  <phoneticPr fontId="0" type="noConversion"/>
  <pageMargins left="0.32" right="0.18" top="1" bottom="1" header="0.5" footer="0.5"/>
  <pageSetup scale="1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pageSetUpPr fitToPage="1"/>
  </sheetPr>
  <dimension ref="A1:K30"/>
  <sheetViews>
    <sheetView zoomScale="75" workbookViewId="0">
      <selection activeCell="A29" sqref="A29:B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10" width="10.28515625" style="1" customWidth="1"/>
    <col min="11" max="11" width="14" style="1" customWidth="1"/>
  </cols>
  <sheetData>
    <row r="1" spans="1:11" ht="15.75" x14ac:dyDescent="0.25">
      <c r="A1" s="4" t="str">
        <f>+System!$A$1</f>
        <v>MINNESOTA STATE - F.Y. 2024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89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Table'!B23</f>
        <v>8436021.0299999993</v>
      </c>
      <c r="C9" s="1">
        <f>'Master Expend Table'!C23</f>
        <v>0</v>
      </c>
      <c r="D9" s="1">
        <f>'Master Expend Table'!D23</f>
        <v>602493.80000000005</v>
      </c>
      <c r="E9" s="1">
        <f>'Master Expend Table'!E23</f>
        <v>23633.09</v>
      </c>
      <c r="G9" s="1">
        <f>'Master Expend Table'!G23</f>
        <v>2446319.9500000002</v>
      </c>
      <c r="H9" s="1">
        <f>'Master Expend Table'!H23</f>
        <v>2079267.67</v>
      </c>
      <c r="I9" s="1">
        <f>'Master Expend Table'!I23</f>
        <v>3306876.94</v>
      </c>
      <c r="J9" s="1">
        <f>'Master Expend Table'!J23</f>
        <v>1527100.17</v>
      </c>
      <c r="K9" s="1">
        <f>SUM(B9:J9)</f>
        <v>18421712.649999999</v>
      </c>
    </row>
    <row r="11" spans="1:11" x14ac:dyDescent="0.2">
      <c r="A11" t="s">
        <v>3</v>
      </c>
      <c r="B11" s="1">
        <f>(B9/($K9-$J9))*-$J$11</f>
        <v>762530.01744119171</v>
      </c>
      <c r="C11" s="1">
        <f t="shared" ref="C11:I11" si="0">(C9/($K9-$J9))*-$J$11</f>
        <v>0</v>
      </c>
      <c r="D11" s="1">
        <f t="shared" si="0"/>
        <v>54459.277210005959</v>
      </c>
      <c r="E11" s="1">
        <f t="shared" si="0"/>
        <v>2136.1896166218135</v>
      </c>
      <c r="G11" s="1">
        <f t="shared" si="0"/>
        <v>221122.30250571526</v>
      </c>
      <c r="H11" s="1">
        <f t="shared" si="0"/>
        <v>187944.53060651111</v>
      </c>
      <c r="I11" s="1">
        <f t="shared" si="0"/>
        <v>298907.85261995427</v>
      </c>
      <c r="J11" s="1">
        <f>-J9</f>
        <v>-1527100.17</v>
      </c>
      <c r="K11" s="1">
        <v>0</v>
      </c>
    </row>
    <row r="12" spans="1:11" x14ac:dyDescent="0.2">
      <c r="A12" t="s">
        <v>4</v>
      </c>
      <c r="B12" s="1">
        <f>+B9+B11</f>
        <v>9198551.047441192</v>
      </c>
      <c r="C12" s="1">
        <f t="shared" ref="C12:J12" si="1">+C9+C11</f>
        <v>0</v>
      </c>
      <c r="D12" s="1">
        <f t="shared" si="1"/>
        <v>656953.07721000595</v>
      </c>
      <c r="E12" s="1">
        <f t="shared" si="1"/>
        <v>25769.279616621814</v>
      </c>
      <c r="G12" s="1">
        <f t="shared" si="1"/>
        <v>2667442.2525057155</v>
      </c>
      <c r="H12" s="1">
        <f t="shared" si="1"/>
        <v>2267212.200606511</v>
      </c>
      <c r="I12" s="1">
        <f t="shared" si="1"/>
        <v>3605784.7926199543</v>
      </c>
      <c r="J12" s="1">
        <f t="shared" si="1"/>
        <v>0</v>
      </c>
      <c r="K12" s="1">
        <f>SUM(B12:J12)</f>
        <v>18421712.650000002</v>
      </c>
    </row>
    <row r="14" spans="1:11" x14ac:dyDescent="0.2">
      <c r="A14" t="s">
        <v>5</v>
      </c>
      <c r="B14" s="1">
        <f>B$9/($K$9-$J$9-$I$9)*-I14</f>
        <v>2238671.5027422537</v>
      </c>
      <c r="C14" s="1">
        <f t="shared" ref="C14:H14" si="2">C$9/($K$9-$J$9-$I$9)*-$I$14</f>
        <v>0</v>
      </c>
      <c r="D14" s="1">
        <f t="shared" si="2"/>
        <v>159884.10837791511</v>
      </c>
      <c r="E14" s="1">
        <f t="shared" si="2"/>
        <v>6271.5259856035391</v>
      </c>
      <c r="G14" s="1">
        <f t="shared" si="2"/>
        <v>649181.25964591815</v>
      </c>
      <c r="H14" s="1">
        <f t="shared" si="2"/>
        <v>551776.39586826449</v>
      </c>
      <c r="I14" s="1">
        <f>-I12</f>
        <v>-3605784.7926199543</v>
      </c>
      <c r="K14" s="1">
        <v>0</v>
      </c>
    </row>
    <row r="15" spans="1:11" x14ac:dyDescent="0.2">
      <c r="A15" t="s">
        <v>4</v>
      </c>
      <c r="B15" s="1">
        <f>+B12+B14</f>
        <v>11437222.550183445</v>
      </c>
      <c r="C15" s="1">
        <f>+C12+C14</f>
        <v>0</v>
      </c>
      <c r="D15" s="1">
        <f>+D12+D14</f>
        <v>816837.18558792106</v>
      </c>
      <c r="E15" s="1">
        <f>+E12+E14</f>
        <v>32040.805602225351</v>
      </c>
      <c r="G15" s="1">
        <f>+G12+G14</f>
        <v>3316623.5121516334</v>
      </c>
      <c r="H15" s="1">
        <f>+H12+H14</f>
        <v>2818988.5964747756</v>
      </c>
      <c r="I15" s="1">
        <f>+I12+I14</f>
        <v>0</v>
      </c>
      <c r="J15" s="1">
        <f>+J12+J14</f>
        <v>0</v>
      </c>
      <c r="K15" s="1">
        <f>SUM(B15:J15)</f>
        <v>18421712.649999999</v>
      </c>
    </row>
    <row r="17" spans="1:11" x14ac:dyDescent="0.2">
      <c r="A17" t="s">
        <v>6</v>
      </c>
      <c r="B17" s="1">
        <f>B$9/($K$9-$J$9-$I$9-$H$9)*-$H$17</f>
        <v>2066395.5751384823</v>
      </c>
      <c r="C17" s="1">
        <f>C$9/($K$9-$J$9-$I$9-$H$9)*-$H$17</f>
        <v>0</v>
      </c>
      <c r="D17" s="1">
        <f>D$9/($K$9-$J$9-$I$9-$H$9)*-$H$17</f>
        <v>147580.30094293991</v>
      </c>
      <c r="E17" s="1">
        <f>E$9/($K$9-$J$9-$I$9-$H$9)*-$H$17</f>
        <v>5788.9036109775461</v>
      </c>
      <c r="G17" s="1">
        <f>G$9/($K$9-$J$9-$I$9-$H$9)*-$H$17</f>
        <v>599223.81678237638</v>
      </c>
      <c r="H17" s="1">
        <f>-H15</f>
        <v>-2818988.5964747756</v>
      </c>
      <c r="K17" s="1">
        <v>0</v>
      </c>
    </row>
    <row r="18" spans="1:11" x14ac:dyDescent="0.2">
      <c r="A18" t="s">
        <v>4</v>
      </c>
      <c r="B18" s="1">
        <f>+B15+B17</f>
        <v>13503618.125321928</v>
      </c>
      <c r="C18" s="1">
        <f>+C15+C17</f>
        <v>0</v>
      </c>
      <c r="D18" s="1">
        <f>+D15+D17</f>
        <v>964417.486530861</v>
      </c>
      <c r="E18" s="1">
        <f>+E15+E17</f>
        <v>37829.709213202899</v>
      </c>
      <c r="G18" s="1">
        <f>+G15+G17</f>
        <v>3915847.3289340097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18421712.650000002</v>
      </c>
    </row>
    <row r="20" spans="1:11" x14ac:dyDescent="0.2">
      <c r="A20" t="s">
        <v>7</v>
      </c>
      <c r="B20" s="1">
        <f>B$9/($K$9-$J$9-$I$9-$H$9-$G$9)*-$G$20</f>
        <v>3645291.4594619242</v>
      </c>
      <c r="C20" s="1">
        <f>C$9/($K$9-$J$9-$I$9-$H$9-$G$9)*-$G$20</f>
        <v>0</v>
      </c>
      <c r="D20" s="1">
        <f>D$9/($K$9-$J$9-$I$9-$H$9-$G$9)*-$G$20</f>
        <v>260343.76819456086</v>
      </c>
      <c r="E20" s="1">
        <f>E$9/($K$9-$J$9-$I$9-$H$9-$G$9)*-$G$20</f>
        <v>10212.101277525502</v>
      </c>
      <c r="G20" s="1">
        <f>-G18</f>
        <v>-3915847.3289340097</v>
      </c>
      <c r="K20" s="1">
        <f>SUM(B20:J20)</f>
        <v>0</v>
      </c>
    </row>
    <row r="22" spans="1:11" x14ac:dyDescent="0.2">
      <c r="A22" t="s">
        <v>8</v>
      </c>
      <c r="B22" s="1">
        <f>+B20+B18</f>
        <v>17148909.584783852</v>
      </c>
      <c r="C22" s="1">
        <f t="shared" ref="C22:K22" si="3">+C20+C18</f>
        <v>0</v>
      </c>
      <c r="D22" s="1">
        <f t="shared" si="3"/>
        <v>1224761.2547254218</v>
      </c>
      <c r="E22" s="1">
        <f t="shared" si="3"/>
        <v>48041.8104907284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18421712.650000002</v>
      </c>
    </row>
    <row r="27" spans="1:11" x14ac:dyDescent="0.2">
      <c r="A27" t="s">
        <v>9</v>
      </c>
      <c r="B27" s="1">
        <f>+B9</f>
        <v>8436021.0299999993</v>
      </c>
    </row>
    <row r="28" spans="1:11" x14ac:dyDescent="0.2">
      <c r="A28" t="s">
        <v>10</v>
      </c>
      <c r="B28" s="1">
        <f>+B22-B27</f>
        <v>8712888.5547838528</v>
      </c>
    </row>
    <row r="29" spans="1:11" x14ac:dyDescent="0.2">
      <c r="A29" s="22" t="s">
        <v>106</v>
      </c>
      <c r="B29" s="1">
        <v>1221</v>
      </c>
    </row>
    <row r="30" spans="1:11" x14ac:dyDescent="0.2">
      <c r="A30" t="s">
        <v>11</v>
      </c>
      <c r="B30" s="1">
        <f>+B28/B29</f>
        <v>7135.8628622308379</v>
      </c>
    </row>
  </sheetData>
  <phoneticPr fontId="0" type="noConversion"/>
  <pageMargins left="0.56000000000000005" right="0.55000000000000004" top="1" bottom="0.53" header="0.5" footer="0.5"/>
  <pageSetup scale="10" orientation="landscape" horizontalDpi="4294967294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pageSetUpPr fitToPage="1"/>
  </sheetPr>
  <dimension ref="A1:K30"/>
  <sheetViews>
    <sheetView zoomScale="80" workbookViewId="0">
      <selection activeCell="A29" sqref="A29:B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10" width="10.28515625" style="1" customWidth="1"/>
    <col min="11" max="11" width="14.5703125" style="1" customWidth="1"/>
  </cols>
  <sheetData>
    <row r="1" spans="1:11" ht="15.75" x14ac:dyDescent="0.25">
      <c r="A1" s="4" t="str">
        <f>+System!$A$1</f>
        <v>MINNESOTA STATE - F.Y. 2024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90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Table'!B24</f>
        <v>20059517.829999998</v>
      </c>
      <c r="C9" s="1">
        <f>'Master Expend Table'!C24</f>
        <v>389809.3</v>
      </c>
      <c r="D9" s="1">
        <f>'Master Expend Table'!D24</f>
        <v>2369333.6</v>
      </c>
      <c r="E9" s="1">
        <f>'Master Expend Table'!E24</f>
        <v>25860.14</v>
      </c>
      <c r="G9" s="1">
        <f>'Master Expend Table'!G24</f>
        <v>4974268.91</v>
      </c>
      <c r="H9" s="1">
        <f>'Master Expend Table'!H24</f>
        <v>7203269.5</v>
      </c>
      <c r="I9" s="1">
        <f>'Master Expend Table'!I24</f>
        <v>8230687.4100000001</v>
      </c>
      <c r="J9" s="1">
        <f>'Master Expend Table'!J24</f>
        <v>4251390.53</v>
      </c>
      <c r="K9" s="1">
        <f>SUM(B9:J9)</f>
        <v>47504137.219999999</v>
      </c>
    </row>
    <row r="11" spans="1:11" x14ac:dyDescent="0.2">
      <c r="A11" t="s">
        <v>3</v>
      </c>
      <c r="B11" s="1">
        <f>(B9/($K9-$J9))*-$J$11</f>
        <v>1971686.2087407045</v>
      </c>
      <c r="C11" s="1">
        <f t="shared" ref="C11:I11" si="0">(C9/($K9-$J9))*-$J$11</f>
        <v>38315.059582310409</v>
      </c>
      <c r="D11" s="1">
        <f t="shared" si="0"/>
        <v>232886.07545887184</v>
      </c>
      <c r="E11" s="1">
        <f t="shared" si="0"/>
        <v>2541.8398301602565</v>
      </c>
      <c r="G11" s="1">
        <f t="shared" si="0"/>
        <v>488929.86818191415</v>
      </c>
      <c r="H11" s="1">
        <f t="shared" si="0"/>
        <v>708022.3588301749</v>
      </c>
      <c r="I11" s="1">
        <f t="shared" si="0"/>
        <v>809009.11937586439</v>
      </c>
      <c r="J11" s="1">
        <f>-J9</f>
        <v>-4251390.53</v>
      </c>
      <c r="K11" s="1">
        <v>0</v>
      </c>
    </row>
    <row r="12" spans="1:11" x14ac:dyDescent="0.2">
      <c r="A12" t="s">
        <v>4</v>
      </c>
      <c r="B12" s="1">
        <f>+B9+B11</f>
        <v>22031204.038740702</v>
      </c>
      <c r="C12" s="1">
        <f t="shared" ref="C12:J12" si="1">+C9+C11</f>
        <v>428124.35958231043</v>
      </c>
      <c r="D12" s="1">
        <f t="shared" si="1"/>
        <v>2602219.6754588718</v>
      </c>
      <c r="E12" s="1">
        <f t="shared" si="1"/>
        <v>28401.979830160257</v>
      </c>
      <c r="G12" s="1">
        <f t="shared" si="1"/>
        <v>5463198.7781819142</v>
      </c>
      <c r="H12" s="1">
        <f t="shared" si="1"/>
        <v>7911291.8588301744</v>
      </c>
      <c r="I12" s="1">
        <f t="shared" si="1"/>
        <v>9039696.5293758642</v>
      </c>
      <c r="J12" s="1">
        <f t="shared" si="1"/>
        <v>0</v>
      </c>
      <c r="K12" s="1">
        <f>SUM(B12:J12)</f>
        <v>47504137.219999999</v>
      </c>
    </row>
    <row r="14" spans="1:11" x14ac:dyDescent="0.2">
      <c r="A14" t="s">
        <v>5</v>
      </c>
      <c r="B14" s="1">
        <f>B$9/($K$9-$J$9-$I$9)*-I14</f>
        <v>5177649.6709991358</v>
      </c>
      <c r="C14" s="1">
        <f t="shared" ref="C14:H14" si="2">C$9/($K$9-$J$9-$I$9)*-$I$14</f>
        <v>100615.37924301163</v>
      </c>
      <c r="D14" s="1">
        <f t="shared" si="2"/>
        <v>611559.03339712531</v>
      </c>
      <c r="E14" s="1">
        <f t="shared" si="2"/>
        <v>6674.8735686331102</v>
      </c>
      <c r="G14" s="1">
        <f t="shared" si="2"/>
        <v>1283930.252142194</v>
      </c>
      <c r="H14" s="1">
        <f t="shared" si="2"/>
        <v>1859267.3200257632</v>
      </c>
      <c r="I14" s="1">
        <f>-I12</f>
        <v>-9039696.5293758642</v>
      </c>
      <c r="K14" s="1">
        <v>0</v>
      </c>
    </row>
    <row r="15" spans="1:11" x14ac:dyDescent="0.2">
      <c r="A15" t="s">
        <v>4</v>
      </c>
      <c r="B15" s="1">
        <f>+B12+B14</f>
        <v>27208853.709739838</v>
      </c>
      <c r="C15" s="1">
        <f>+C12+C14</f>
        <v>528739.73882532201</v>
      </c>
      <c r="D15" s="1">
        <f>+D12+D14</f>
        <v>3213778.7088559968</v>
      </c>
      <c r="E15" s="1">
        <f>+E12+E14</f>
        <v>35076.85339879337</v>
      </c>
      <c r="G15" s="1">
        <f>+G12+G14</f>
        <v>6747129.030324108</v>
      </c>
      <c r="H15" s="1">
        <f>+H12+H14</f>
        <v>9770559.178855937</v>
      </c>
      <c r="I15" s="1">
        <f>+I12+I14</f>
        <v>0</v>
      </c>
      <c r="J15" s="1">
        <f>+J12+J14</f>
        <v>0</v>
      </c>
      <c r="K15" s="1">
        <f>SUM(B15:J15)</f>
        <v>47504137.219999999</v>
      </c>
    </row>
    <row r="17" spans="1:11" x14ac:dyDescent="0.2">
      <c r="A17" t="s">
        <v>6</v>
      </c>
      <c r="B17" s="1">
        <f>B$9/($K$9-$J$9-$I$9-$H$9)*-$H$17</f>
        <v>7045335.4587782072</v>
      </c>
      <c r="C17" s="1">
        <f>C$9/($K$9-$J$9-$I$9-$H$9)*-$H$17</f>
        <v>136909.43654409423</v>
      </c>
      <c r="D17" s="1">
        <f>D$9/($K$9-$J$9-$I$9-$H$9)*-$H$17</f>
        <v>832161.0802025256</v>
      </c>
      <c r="E17" s="1">
        <f>E$9/($K$9-$J$9-$I$9-$H$9)*-$H$17</f>
        <v>9082.6391170025781</v>
      </c>
      <c r="G17" s="1">
        <f>G$9/($K$9-$J$9-$I$9-$H$9)*-$H$17</f>
        <v>1747070.5642141064</v>
      </c>
      <c r="H17" s="1">
        <f>-H15</f>
        <v>-9770559.178855937</v>
      </c>
      <c r="K17" s="1">
        <v>0</v>
      </c>
    </row>
    <row r="18" spans="1:11" x14ac:dyDescent="0.2">
      <c r="A18" t="s">
        <v>4</v>
      </c>
      <c r="B18" s="1">
        <f>+B15+B17</f>
        <v>34254189.168518044</v>
      </c>
      <c r="C18" s="1">
        <f>+C15+C17</f>
        <v>665649.17536941625</v>
      </c>
      <c r="D18" s="1">
        <f>+D15+D17</f>
        <v>4045939.7890585223</v>
      </c>
      <c r="E18" s="1">
        <f>+E15+E17</f>
        <v>44159.492515795951</v>
      </c>
      <c r="G18" s="1">
        <f>+G15+G17</f>
        <v>8494199.5945382137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47504137.219999991</v>
      </c>
    </row>
    <row r="20" spans="1:11" x14ac:dyDescent="0.2">
      <c r="A20" t="s">
        <v>7</v>
      </c>
      <c r="B20" s="1">
        <f>B$9/($K$9-$J$9-$I$9-$H$9-$G$9)*-$G$20</f>
        <v>7458661.4964631582</v>
      </c>
      <c r="C20" s="1">
        <f>C$9/($K$9-$J$9-$I$9-$H$9-$G$9)*-$G$20</f>
        <v>144941.45081219316</v>
      </c>
      <c r="D20" s="1">
        <f>D$9/($K$9-$J$9-$I$9-$H$9-$G$9)*-$G$20</f>
        <v>880981.16038297827</v>
      </c>
      <c r="E20" s="1">
        <f>E$9/($K$9-$J$9-$I$9-$H$9-$G$9)*-$G$20</f>
        <v>9615.486879883134</v>
      </c>
      <c r="G20" s="1">
        <f>-G18</f>
        <v>-8494199.5945382137</v>
      </c>
      <c r="K20" s="1">
        <f>SUM(B20:J20)</f>
        <v>0</v>
      </c>
    </row>
    <row r="22" spans="1:11" x14ac:dyDescent="0.2">
      <c r="A22" t="s">
        <v>8</v>
      </c>
      <c r="B22" s="1">
        <f>+B20+B18</f>
        <v>41712850.664981201</v>
      </c>
      <c r="C22" s="1">
        <f t="shared" ref="C22:K22" si="3">+C20+C18</f>
        <v>810590.62618160946</v>
      </c>
      <c r="D22" s="1">
        <f t="shared" si="3"/>
        <v>4926920.9494415009</v>
      </c>
      <c r="E22" s="1">
        <f t="shared" si="3"/>
        <v>53774.979395679082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47504137.219999991</v>
      </c>
    </row>
    <row r="27" spans="1:11" x14ac:dyDescent="0.2">
      <c r="A27" t="s">
        <v>9</v>
      </c>
      <c r="B27" s="1">
        <f>+B9</f>
        <v>20059517.829999998</v>
      </c>
    </row>
    <row r="28" spans="1:11" x14ac:dyDescent="0.2">
      <c r="A28" t="s">
        <v>10</v>
      </c>
      <c r="B28" s="1">
        <f>+B22-B27</f>
        <v>21653332.834981203</v>
      </c>
    </row>
    <row r="29" spans="1:11" x14ac:dyDescent="0.2">
      <c r="A29" s="22" t="s">
        <v>106</v>
      </c>
      <c r="B29" s="1">
        <v>3211</v>
      </c>
    </row>
    <row r="30" spans="1:11" x14ac:dyDescent="0.2">
      <c r="A30" t="s">
        <v>11</v>
      </c>
      <c r="B30" s="1">
        <f>+B28/B29</f>
        <v>6743.4857785677996</v>
      </c>
    </row>
  </sheetData>
  <phoneticPr fontId="11" type="noConversion"/>
  <pageMargins left="0.64" right="0.51" top="1" bottom="1" header="0.5" footer="0.5"/>
  <pageSetup scale="1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0">
    <pageSetUpPr fitToPage="1"/>
  </sheetPr>
  <dimension ref="A1:M46"/>
  <sheetViews>
    <sheetView topLeftCell="A5" zoomScale="75" workbookViewId="0">
      <selection activeCell="A29" sqref="A29:B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1.140625" style="1" customWidth="1"/>
    <col min="8" max="8" width="10.5703125" style="1" customWidth="1"/>
    <col min="9" max="9" width="11" style="1" customWidth="1"/>
    <col min="10" max="10" width="10.28515625" style="1" customWidth="1"/>
    <col min="11" max="11" width="14" style="1" customWidth="1"/>
  </cols>
  <sheetData>
    <row r="1" spans="1:11" ht="15.75" x14ac:dyDescent="0.25">
      <c r="A1" s="4" t="str">
        <f>+System!$A$1</f>
        <v>MINNESOTA STATE - F.Y. 2024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55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Table'!B25</f>
        <v>29713698.23</v>
      </c>
      <c r="C9" s="1">
        <f>'Master Expend Table'!C25</f>
        <v>1746.32</v>
      </c>
      <c r="D9" s="1">
        <f>'Master Expend Table'!D25</f>
        <v>745340.57</v>
      </c>
      <c r="E9" s="1">
        <f>'Master Expend Table'!E25</f>
        <v>3805003.38</v>
      </c>
      <c r="G9" s="1">
        <f>'Master Expend Table'!G25</f>
        <v>13149748.83</v>
      </c>
      <c r="H9" s="1">
        <f>'Master Expend Table'!H25</f>
        <v>9568854.6699999999</v>
      </c>
      <c r="I9" s="1">
        <f>'Master Expend Table'!I25</f>
        <v>9846732.1199999992</v>
      </c>
      <c r="J9" s="1">
        <f>'Master Expend Table'!J25</f>
        <v>8122611.0999999996</v>
      </c>
      <c r="K9" s="1">
        <f>SUM(B9:J9)</f>
        <v>74953735.219999999</v>
      </c>
    </row>
    <row r="11" spans="1:11" x14ac:dyDescent="0.2">
      <c r="A11" t="s">
        <v>3</v>
      </c>
      <c r="B11" s="1">
        <f>(B9/($K9-$J9))*-$J$11</f>
        <v>3611383.4421172137</v>
      </c>
      <c r="C11" s="1">
        <f t="shared" ref="C11:I11" si="0">(C9/($K9-$J9))*-$J$11</f>
        <v>212.24659023664495</v>
      </c>
      <c r="D11" s="1">
        <f t="shared" si="0"/>
        <v>90588.205224436184</v>
      </c>
      <c r="E11" s="1">
        <f t="shared" si="0"/>
        <v>462457.62130875734</v>
      </c>
      <c r="G11" s="1">
        <f t="shared" si="0"/>
        <v>1598211.8693228113</v>
      </c>
      <c r="H11" s="1">
        <f t="shared" si="0"/>
        <v>1162992.335985098</v>
      </c>
      <c r="I11" s="1">
        <f t="shared" si="0"/>
        <v>1196765.3794514467</v>
      </c>
      <c r="J11" s="1">
        <f>-J9</f>
        <v>-8122611.0999999996</v>
      </c>
      <c r="K11" s="1">
        <v>0</v>
      </c>
    </row>
    <row r="12" spans="1:11" x14ac:dyDescent="0.2">
      <c r="A12" t="s">
        <v>4</v>
      </c>
      <c r="B12" s="1">
        <f>+B9+B11</f>
        <v>33325081.672117215</v>
      </c>
      <c r="C12" s="1">
        <f t="shared" ref="C12:J12" si="1">+C9+C11</f>
        <v>1958.566590236645</v>
      </c>
      <c r="D12" s="1">
        <f t="shared" si="1"/>
        <v>835928.77522443607</v>
      </c>
      <c r="E12" s="1">
        <f t="shared" si="1"/>
        <v>4267461.0013087569</v>
      </c>
      <c r="G12" s="1">
        <f t="shared" si="1"/>
        <v>14747960.699322812</v>
      </c>
      <c r="H12" s="1">
        <f t="shared" si="1"/>
        <v>10731847.005985098</v>
      </c>
      <c r="I12" s="1">
        <f t="shared" si="1"/>
        <v>11043497.499451445</v>
      </c>
      <c r="J12" s="1">
        <f t="shared" si="1"/>
        <v>0</v>
      </c>
      <c r="K12" s="1">
        <f>SUM(B12:J12)</f>
        <v>74953735.219999999</v>
      </c>
    </row>
    <row r="14" spans="1:11" x14ac:dyDescent="0.2">
      <c r="A14" t="s">
        <v>5</v>
      </c>
      <c r="B14" s="1">
        <f>B$9/($K$9-$J$9-$I$9)*-I14</f>
        <v>5758474.2169831321</v>
      </c>
      <c r="C14" s="1">
        <f t="shared" ref="C14:H14" si="2">C$9/($K$9-$J$9-$I$9)*-$I$14</f>
        <v>338.43443575289967</v>
      </c>
      <c r="D14" s="1">
        <f t="shared" si="2"/>
        <v>144445.98656128006</v>
      </c>
      <c r="E14" s="1">
        <f t="shared" si="2"/>
        <v>737404.46879619779</v>
      </c>
      <c r="G14" s="1">
        <f t="shared" si="2"/>
        <v>2548403.4000489041</v>
      </c>
      <c r="H14" s="1">
        <f t="shared" si="2"/>
        <v>1854430.992626179</v>
      </c>
      <c r="I14" s="1">
        <f>-I12</f>
        <v>-11043497.499451445</v>
      </c>
      <c r="K14" s="1">
        <v>0</v>
      </c>
    </row>
    <row r="15" spans="1:11" x14ac:dyDescent="0.2">
      <c r="A15" t="s">
        <v>4</v>
      </c>
      <c r="B15" s="1">
        <f>+B12+B14</f>
        <v>39083555.889100343</v>
      </c>
      <c r="C15" s="1">
        <f>+C12+C14</f>
        <v>2297.0010259895448</v>
      </c>
      <c r="D15" s="1">
        <f>+D12+D14</f>
        <v>980374.76178571617</v>
      </c>
      <c r="E15" s="1">
        <f>+E12+E14</f>
        <v>5004865.4701049551</v>
      </c>
      <c r="G15" s="1">
        <f>+G12+G14</f>
        <v>17296364.099371716</v>
      </c>
      <c r="H15" s="1">
        <f>+H12+H14</f>
        <v>12586277.998611277</v>
      </c>
      <c r="I15" s="1">
        <f>+I12+I14</f>
        <v>0</v>
      </c>
      <c r="J15" s="1">
        <f>+J12+J14</f>
        <v>0</v>
      </c>
      <c r="K15" s="1">
        <f>SUM(B15:J15)</f>
        <v>74953735.219999999</v>
      </c>
    </row>
    <row r="17" spans="1:11" x14ac:dyDescent="0.2">
      <c r="A17" t="s">
        <v>6</v>
      </c>
      <c r="B17" s="1">
        <f>B$9/($K$9-$J$9-$I$9-$H$9)*-$H$17</f>
        <v>7887390.6602973826</v>
      </c>
      <c r="C17" s="1">
        <f>C$9/($K$9-$J$9-$I$9-$H$9)*-$H$17</f>
        <v>463.55414769555341</v>
      </c>
      <c r="D17" s="1">
        <f>D$9/($K$9-$J$9-$I$9-$H$9)*-$H$17</f>
        <v>197847.88164212054</v>
      </c>
      <c r="E17" s="1">
        <f>E$9/($K$9-$J$9-$I$9-$H$9)*-$H$17</f>
        <v>1010023.9926213982</v>
      </c>
      <c r="G17" s="1">
        <f>G$9/($K$9-$J$9-$I$9-$H$9)*-$H$17</f>
        <v>3490551.9099026811</v>
      </c>
      <c r="H17" s="1">
        <f>-H15</f>
        <v>-12586277.998611277</v>
      </c>
      <c r="K17" s="1">
        <v>0</v>
      </c>
    </row>
    <row r="18" spans="1:11" x14ac:dyDescent="0.2">
      <c r="A18" t="s">
        <v>4</v>
      </c>
      <c r="B18" s="1">
        <f>+B15+B17</f>
        <v>46970946.549397722</v>
      </c>
      <c r="C18" s="1">
        <f>+C15+C17</f>
        <v>2760.5551736850985</v>
      </c>
      <c r="D18" s="1">
        <f>+D15+D17</f>
        <v>1178222.6434278367</v>
      </c>
      <c r="E18" s="1">
        <f>+E15+E17</f>
        <v>6014889.4627263537</v>
      </c>
      <c r="G18" s="1">
        <f>+G15+G17</f>
        <v>20786916.009274397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74953735.219999999</v>
      </c>
    </row>
    <row r="20" spans="1:11" x14ac:dyDescent="0.2">
      <c r="A20" t="s">
        <v>7</v>
      </c>
      <c r="B20" s="1">
        <f>B$9/($K$9-$J$9-$I$9-$H$9-$G$9)*-$G$20</f>
        <v>18025446.851512998</v>
      </c>
      <c r="C20" s="1">
        <f>C$9/($K$9-$J$9-$I$9-$H$9-$G$9)*-$G$20</f>
        <v>1059.3833895086368</v>
      </c>
      <c r="D20" s="1">
        <f>D$9/($K$9-$J$9-$I$9-$H$9-$G$9)*-$G$20</f>
        <v>452151.62134368229</v>
      </c>
      <c r="E20" s="1">
        <f>E$9/($K$9-$J$9-$I$9-$H$9-$G$9)*-$G$20</f>
        <v>2308258.1530282074</v>
      </c>
      <c r="G20" s="1">
        <f>-G18</f>
        <v>-20786916.009274397</v>
      </c>
      <c r="K20" s="1">
        <f>SUM(B20:J20)</f>
        <v>0</v>
      </c>
    </row>
    <row r="22" spans="1:11" x14ac:dyDescent="0.2">
      <c r="A22" t="s">
        <v>8</v>
      </c>
      <c r="B22" s="1">
        <f>+B20+B18</f>
        <v>64996393.40091072</v>
      </c>
      <c r="C22" s="1">
        <f t="shared" ref="C22:K22" si="3">+C20+C18</f>
        <v>3819.9385631937353</v>
      </c>
      <c r="D22" s="1">
        <f t="shared" si="3"/>
        <v>1630374.264771519</v>
      </c>
      <c r="E22" s="1">
        <f t="shared" si="3"/>
        <v>8323147.6157545615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74953735.219999999</v>
      </c>
    </row>
    <row r="27" spans="1:11" x14ac:dyDescent="0.2">
      <c r="A27" t="s">
        <v>9</v>
      </c>
      <c r="B27" s="1">
        <f>+B9</f>
        <v>29713698.23</v>
      </c>
    </row>
    <row r="28" spans="1:11" x14ac:dyDescent="0.2">
      <c r="A28" t="s">
        <v>10</v>
      </c>
      <c r="B28" s="1">
        <f>+B22-B27</f>
        <v>35282695.170910716</v>
      </c>
    </row>
    <row r="29" spans="1:11" x14ac:dyDescent="0.2">
      <c r="A29" s="22" t="s">
        <v>106</v>
      </c>
      <c r="B29" s="1">
        <v>4013</v>
      </c>
    </row>
    <row r="30" spans="1:11" x14ac:dyDescent="0.2">
      <c r="A30" t="s">
        <v>11</v>
      </c>
      <c r="B30" s="1">
        <f>+B28/B29</f>
        <v>8792.0994694519595</v>
      </c>
    </row>
    <row r="46" spans="13:13" x14ac:dyDescent="0.2">
      <c r="M46" s="22"/>
    </row>
  </sheetData>
  <phoneticPr fontId="0" type="noConversion"/>
  <pageMargins left="0.49" right="0.55000000000000004" top="1" bottom="0.48" header="0.5" footer="0.5"/>
  <pageSetup scale="10" orientation="landscape" horizontalDpi="4294967294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1">
    <pageSetUpPr fitToPage="1"/>
  </sheetPr>
  <dimension ref="A1:K30"/>
  <sheetViews>
    <sheetView zoomScale="80" workbookViewId="0">
      <selection activeCell="A29" sqref="A29:B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1.42578125" style="1" customWidth="1"/>
    <col min="8" max="8" width="11.140625" style="1" customWidth="1"/>
    <col min="9" max="9" width="11" style="1" customWidth="1"/>
    <col min="10" max="10" width="11.85546875" style="1" customWidth="1"/>
    <col min="11" max="11" width="14" style="1" customWidth="1"/>
  </cols>
  <sheetData>
    <row r="1" spans="1:11" ht="15.75" x14ac:dyDescent="0.25">
      <c r="A1" s="4" t="str">
        <f>+System!$A$1</f>
        <v>MINNESOTA STATE - F.Y. 2024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56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Table'!B26</f>
        <v>102273223.61</v>
      </c>
      <c r="C9" s="1">
        <f>'Master Expend Table'!C26</f>
        <v>1606873.39</v>
      </c>
      <c r="D9" s="1">
        <f>'Master Expend Table'!D26</f>
        <v>2386389.58</v>
      </c>
      <c r="E9" s="1">
        <f>'Master Expend Table'!E26</f>
        <v>9581010.3900000006</v>
      </c>
      <c r="G9" s="1">
        <f>'Master Expend Table'!G26</f>
        <v>36694242.219999999</v>
      </c>
      <c r="H9" s="1">
        <f>'Master Expend Table'!H26</f>
        <v>24616745.239999998</v>
      </c>
      <c r="I9" s="1">
        <f>'Master Expend Table'!I26</f>
        <v>27329817.359999999</v>
      </c>
      <c r="J9" s="1">
        <f>'Master Expend Table'!J26</f>
        <v>18491790.09</v>
      </c>
      <c r="K9" s="1">
        <f>SUM(B9:J9)</f>
        <v>222980091.88000003</v>
      </c>
    </row>
    <row r="11" spans="1:11" x14ac:dyDescent="0.2">
      <c r="A11" t="s">
        <v>3</v>
      </c>
      <c r="B11" s="1">
        <f>(B9/($K9-$J9))*-$J$11</f>
        <v>9248524.0782425869</v>
      </c>
      <c r="C11" s="1">
        <f t="shared" ref="C11:I11" si="0">(C9/($K9-$J9))*-$J$11</f>
        <v>145308.87668870937</v>
      </c>
      <c r="D11" s="1">
        <f t="shared" si="0"/>
        <v>215800.19394772663</v>
      </c>
      <c r="E11" s="1">
        <f t="shared" si="0"/>
        <v>866406.69139075954</v>
      </c>
      <c r="G11" s="1">
        <f t="shared" si="0"/>
        <v>3318244.7049743063</v>
      </c>
      <c r="H11" s="1">
        <f t="shared" si="0"/>
        <v>2226081.7938845409</v>
      </c>
      <c r="I11" s="1">
        <f t="shared" si="0"/>
        <v>2471423.7508713673</v>
      </c>
      <c r="J11" s="1">
        <f>-J9</f>
        <v>-18491790.09</v>
      </c>
      <c r="K11" s="1">
        <v>0</v>
      </c>
    </row>
    <row r="12" spans="1:11" x14ac:dyDescent="0.2">
      <c r="A12" t="s">
        <v>4</v>
      </c>
      <c r="B12" s="1">
        <f>+B9+B11</f>
        <v>111521747.68824258</v>
      </c>
      <c r="C12" s="1">
        <f t="shared" ref="C12:J12" si="1">+C9+C11</f>
        <v>1752182.2666887091</v>
      </c>
      <c r="D12" s="1">
        <f t="shared" si="1"/>
        <v>2602189.7739477269</v>
      </c>
      <c r="E12" s="1">
        <f t="shared" si="1"/>
        <v>10447417.081390761</v>
      </c>
      <c r="G12" s="1">
        <f t="shared" si="1"/>
        <v>40012486.924974307</v>
      </c>
      <c r="H12" s="1">
        <f t="shared" si="1"/>
        <v>26842827.03388454</v>
      </c>
      <c r="I12" s="1">
        <f t="shared" si="1"/>
        <v>29801241.110871367</v>
      </c>
      <c r="J12" s="1">
        <f t="shared" si="1"/>
        <v>0</v>
      </c>
      <c r="K12" s="1">
        <f>SUM(B12:J12)</f>
        <v>222980091.88</v>
      </c>
    </row>
    <row r="14" spans="1:11" x14ac:dyDescent="0.2">
      <c r="A14" t="s">
        <v>5</v>
      </c>
      <c r="B14" s="1">
        <f>B$9/($K$9-$J$9-$I$9)*-I14</f>
        <v>17204194.344933931</v>
      </c>
      <c r="C14" s="1">
        <f t="shared" ref="C14:H14" si="2">C$9/($K$9-$J$9-$I$9)*-$I$14</f>
        <v>270304.98417339183</v>
      </c>
      <c r="D14" s="1">
        <f t="shared" si="2"/>
        <v>401433.61740121123</v>
      </c>
      <c r="E14" s="1">
        <f t="shared" si="2"/>
        <v>1611698.1449509554</v>
      </c>
      <c r="G14" s="1">
        <f t="shared" si="2"/>
        <v>6172631.038797467</v>
      </c>
      <c r="H14" s="1">
        <f t="shared" si="2"/>
        <v>4140978.9806144089</v>
      </c>
      <c r="I14" s="1">
        <f>-I12</f>
        <v>-29801241.110871367</v>
      </c>
      <c r="K14" s="1">
        <v>0</v>
      </c>
    </row>
    <row r="15" spans="1:11" x14ac:dyDescent="0.2">
      <c r="A15" t="s">
        <v>4</v>
      </c>
      <c r="B15" s="1">
        <f>+B12+B14</f>
        <v>128725942.03317651</v>
      </c>
      <c r="C15" s="1">
        <f>+C12+C14</f>
        <v>2022487.2508621011</v>
      </c>
      <c r="D15" s="1">
        <f>+D12+D14</f>
        <v>3003623.391348938</v>
      </c>
      <c r="E15" s="1">
        <f>+E12+E14</f>
        <v>12059115.226341717</v>
      </c>
      <c r="G15" s="1">
        <f>+G12+G14</f>
        <v>46185117.963771775</v>
      </c>
      <c r="H15" s="1">
        <f>+H12+H14</f>
        <v>30983806.014498949</v>
      </c>
      <c r="I15" s="1">
        <f>+I12+I14</f>
        <v>0</v>
      </c>
      <c r="J15" s="1">
        <f>+J12+J14</f>
        <v>0</v>
      </c>
      <c r="K15" s="1">
        <f>SUM(B15:J15)</f>
        <v>222980091.88</v>
      </c>
    </row>
    <row r="17" spans="1:11" x14ac:dyDescent="0.2">
      <c r="A17" t="s">
        <v>6</v>
      </c>
      <c r="B17" s="1">
        <f>B$9/($K$9-$J$9-$I$9-$H$9)*-$H$17</f>
        <v>20773420.688895933</v>
      </c>
      <c r="C17" s="1">
        <f>C$9/($K$9-$J$9-$I$9-$H$9)*-$H$17</f>
        <v>326383.15040847613</v>
      </c>
      <c r="D17" s="1">
        <f>D$9/($K$9-$J$9-$I$9-$H$9)*-$H$17</f>
        <v>484716.06666058511</v>
      </c>
      <c r="E17" s="1">
        <f>E$9/($K$9-$J$9-$I$9-$H$9)*-$H$17</f>
        <v>1946065.1813921339</v>
      </c>
      <c r="G17" s="1">
        <f>G$9/($K$9-$J$9-$I$9-$H$9)*-$H$17</f>
        <v>7453220.9271418182</v>
      </c>
      <c r="H17" s="1">
        <f>-H15</f>
        <v>-30983806.014498949</v>
      </c>
      <c r="K17" s="1">
        <v>0</v>
      </c>
    </row>
    <row r="18" spans="1:11" x14ac:dyDescent="0.2">
      <c r="A18" t="s">
        <v>4</v>
      </c>
      <c r="B18" s="1">
        <f>+B15+B17</f>
        <v>149499362.72207245</v>
      </c>
      <c r="C18" s="1">
        <f>+C15+C17</f>
        <v>2348870.4012705772</v>
      </c>
      <c r="D18" s="1">
        <f>+D15+D17</f>
        <v>3488339.4580095233</v>
      </c>
      <c r="E18" s="1">
        <f>+E15+E17</f>
        <v>14005180.40773385</v>
      </c>
      <c r="G18" s="1">
        <f>+G15+G17</f>
        <v>53638338.890913591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222980091.88</v>
      </c>
    </row>
    <row r="20" spans="1:11" x14ac:dyDescent="0.2">
      <c r="A20" t="s">
        <v>7</v>
      </c>
      <c r="B20" s="1">
        <f>B$9/($K$9-$J$9-$I$9-$H$9-$G$9)*-$G$20</f>
        <v>47353339.268779926</v>
      </c>
      <c r="C20" s="1">
        <f>C$9/($K$9-$J$9-$I$9-$H$9-$G$9)*-$G$20</f>
        <v>743995.52603135677</v>
      </c>
      <c r="D20" s="1">
        <f>D$9/($K$9-$J$9-$I$9-$H$9-$G$9)*-$G$20</f>
        <v>1104917.8995290031</v>
      </c>
      <c r="E20" s="1">
        <f>E$9/($K$9-$J$9-$I$9-$H$9-$G$9)*-$G$20</f>
        <v>4436086.1965733003</v>
      </c>
      <c r="G20" s="1">
        <f>-G18</f>
        <v>-53638338.890913591</v>
      </c>
      <c r="K20" s="1">
        <f>SUM(B20:J20)</f>
        <v>0</v>
      </c>
    </row>
    <row r="22" spans="1:11" x14ac:dyDescent="0.2">
      <c r="A22" t="s">
        <v>8</v>
      </c>
      <c r="B22" s="1">
        <f>+B20+B18</f>
        <v>196852701.99085239</v>
      </c>
      <c r="C22" s="1">
        <f t="shared" ref="C22:K22" si="3">+C20+C18</f>
        <v>3092865.927301934</v>
      </c>
      <c r="D22" s="1">
        <f t="shared" si="3"/>
        <v>4593257.3575385269</v>
      </c>
      <c r="E22" s="1">
        <f t="shared" si="3"/>
        <v>18441266.604307152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222980091.88</v>
      </c>
    </row>
    <row r="27" spans="1:11" x14ac:dyDescent="0.2">
      <c r="A27" t="s">
        <v>9</v>
      </c>
      <c r="B27" s="1">
        <f>+B9</f>
        <v>102273223.61</v>
      </c>
    </row>
    <row r="28" spans="1:11" x14ac:dyDescent="0.2">
      <c r="A28" t="s">
        <v>10</v>
      </c>
      <c r="B28" s="1">
        <f>+B22-B27</f>
        <v>94579478.380852386</v>
      </c>
    </row>
    <row r="29" spans="1:11" x14ac:dyDescent="0.2">
      <c r="A29" s="22" t="s">
        <v>106</v>
      </c>
      <c r="B29" s="1">
        <v>13149</v>
      </c>
    </row>
    <row r="30" spans="1:11" x14ac:dyDescent="0.2">
      <c r="A30" t="s">
        <v>11</v>
      </c>
      <c r="B30" s="1">
        <f>+B28/B29</f>
        <v>7192.9027592100074</v>
      </c>
    </row>
  </sheetData>
  <phoneticPr fontId="0" type="noConversion"/>
  <pageMargins left="0.52" right="0.55000000000000004" top="1" bottom="1" header="0.5" footer="0.5"/>
  <pageSetup scale="10" orientation="landscape" horizontalDpi="4294967294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2">
    <pageSetUpPr fitToPage="1"/>
  </sheetPr>
  <dimension ref="A1:K30"/>
  <sheetViews>
    <sheetView zoomScale="75" workbookViewId="0">
      <selection activeCell="A29" sqref="A29:B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" style="1" customWidth="1"/>
  </cols>
  <sheetData>
    <row r="1" spans="1:11" ht="15.75" x14ac:dyDescent="0.25">
      <c r="A1" s="4" t="str">
        <f>+System!$A$1</f>
        <v>MINNESOTA STATE - F.Y. 2024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27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Table'!B27</f>
        <v>12485257.9</v>
      </c>
      <c r="C9" s="1">
        <f>'Master Expend Table'!C27</f>
        <v>46248.17</v>
      </c>
      <c r="D9" s="1">
        <f>'Master Expend Table'!D27</f>
        <v>1319937.8899999999</v>
      </c>
      <c r="E9" s="1">
        <f>'Master Expend Table'!E27</f>
        <v>373676.51</v>
      </c>
      <c r="G9" s="1">
        <f>'Master Expend Table'!G27</f>
        <v>2602169.2200000002</v>
      </c>
      <c r="H9" s="1">
        <f>'Master Expend Table'!H27</f>
        <v>3904837.33</v>
      </c>
      <c r="I9" s="1">
        <f>'Master Expend Table'!I27</f>
        <v>3856030.27</v>
      </c>
      <c r="J9" s="1">
        <f>'Master Expend Table'!J27</f>
        <v>2722578.01</v>
      </c>
      <c r="K9" s="1">
        <f>SUM(B9:J9)</f>
        <v>27310735.300000004</v>
      </c>
    </row>
    <row r="11" spans="1:11" x14ac:dyDescent="0.2">
      <c r="A11" t="s">
        <v>3</v>
      </c>
      <c r="B11" s="1">
        <f>(B9/($K9-$J9))*-$J$11</f>
        <v>1382457.7501602101</v>
      </c>
      <c r="C11" s="1">
        <f t="shared" ref="C11:I11" si="0">(C9/($K9-$J9))*-$J$11</f>
        <v>5120.9307456297656</v>
      </c>
      <c r="D11" s="1">
        <f t="shared" si="0"/>
        <v>146153.03747635157</v>
      </c>
      <c r="E11" s="1">
        <f t="shared" si="0"/>
        <v>41376.156699359752</v>
      </c>
      <c r="G11" s="1">
        <f t="shared" si="0"/>
        <v>288130.9328353841</v>
      </c>
      <c r="H11" s="1">
        <f t="shared" si="0"/>
        <v>432371.73578716395</v>
      </c>
      <c r="I11" s="1">
        <f t="shared" si="0"/>
        <v>426967.46629589988</v>
      </c>
      <c r="J11" s="1">
        <f>-J9</f>
        <v>-2722578.01</v>
      </c>
      <c r="K11" s="1">
        <v>0</v>
      </c>
    </row>
    <row r="12" spans="1:11" x14ac:dyDescent="0.2">
      <c r="A12" t="s">
        <v>4</v>
      </c>
      <c r="B12" s="1">
        <f>+B9+B11</f>
        <v>13867715.65016021</v>
      </c>
      <c r="C12" s="1">
        <f t="shared" ref="C12:J12" si="1">+C9+C11</f>
        <v>51369.100745629767</v>
      </c>
      <c r="D12" s="1">
        <f t="shared" si="1"/>
        <v>1466090.9274763514</v>
      </c>
      <c r="E12" s="1">
        <f t="shared" si="1"/>
        <v>415052.66669935978</v>
      </c>
      <c r="G12" s="1">
        <f t="shared" si="1"/>
        <v>2890300.1528353845</v>
      </c>
      <c r="H12" s="1">
        <f t="shared" si="1"/>
        <v>4337209.0657871645</v>
      </c>
      <c r="I12" s="1">
        <f t="shared" si="1"/>
        <v>4282997.7362959003</v>
      </c>
      <c r="J12" s="1">
        <f t="shared" si="1"/>
        <v>0</v>
      </c>
      <c r="K12" s="1">
        <f>SUM(B12:J12)</f>
        <v>27310735.300000004</v>
      </c>
    </row>
    <row r="14" spans="1:11" x14ac:dyDescent="0.2">
      <c r="A14" t="s">
        <v>5</v>
      </c>
      <c r="B14" s="1">
        <f>B$9/($K$9-$J$9-$I$9)*-I14</f>
        <v>2579297.8825175306</v>
      </c>
      <c r="C14" s="1">
        <f t="shared" ref="C14:H14" si="2">C$9/($K$9-$J$9-$I$9)*-$I$14</f>
        <v>9554.2925830399381</v>
      </c>
      <c r="D14" s="1">
        <f t="shared" si="2"/>
        <v>272682.633550698</v>
      </c>
      <c r="E14" s="1">
        <f t="shared" si="2"/>
        <v>77196.886016230477</v>
      </c>
      <c r="G14" s="1">
        <f t="shared" si="2"/>
        <v>537575.56414579914</v>
      </c>
      <c r="H14" s="1">
        <f t="shared" si="2"/>
        <v>806690.47748260037</v>
      </c>
      <c r="I14" s="1">
        <f>-I12</f>
        <v>-4282997.7362959003</v>
      </c>
      <c r="K14" s="1">
        <v>0</v>
      </c>
    </row>
    <row r="15" spans="1:11" x14ac:dyDescent="0.2">
      <c r="A15" t="s">
        <v>4</v>
      </c>
      <c r="B15" s="1">
        <f>+B12+B14</f>
        <v>16447013.53267774</v>
      </c>
      <c r="C15" s="1">
        <f>+C12+C14</f>
        <v>60923.393328669707</v>
      </c>
      <c r="D15" s="1">
        <f>+D12+D14</f>
        <v>1738773.5610270493</v>
      </c>
      <c r="E15" s="1">
        <f>+E12+E14</f>
        <v>492249.55271559022</v>
      </c>
      <c r="G15" s="1">
        <f>+G12+G14</f>
        <v>3427875.7169811837</v>
      </c>
      <c r="H15" s="1">
        <f>+H12+H14</f>
        <v>5143899.5432697646</v>
      </c>
      <c r="I15" s="1">
        <f>+I12+I14</f>
        <v>0</v>
      </c>
      <c r="J15" s="1">
        <f>+J12+J14</f>
        <v>0</v>
      </c>
      <c r="K15" s="1">
        <f>SUM(B15:J15)</f>
        <v>27310735.299999997</v>
      </c>
    </row>
    <row r="17" spans="1:11" x14ac:dyDescent="0.2">
      <c r="A17" t="s">
        <v>6</v>
      </c>
      <c r="B17" s="1">
        <f>B$9/($K$9-$J$9-$I$9-$H$9)*-$H$17</f>
        <v>3816592.784254563</v>
      </c>
      <c r="C17" s="1">
        <f>C$9/($K$9-$J$9-$I$9-$H$9)*-$H$17</f>
        <v>14137.507876948088</v>
      </c>
      <c r="D17" s="1">
        <f>D$9/($K$9-$J$9-$I$9-$H$9)*-$H$17</f>
        <v>403489.09625953285</v>
      </c>
      <c r="E17" s="1">
        <f>E$9/($K$9-$J$9-$I$9-$H$9)*-$H$17</f>
        <v>114228.40306017452</v>
      </c>
      <c r="G17" s="1">
        <f>G$9/($K$9-$J$9-$I$9-$H$9)*-$H$17</f>
        <v>795451.7518185447</v>
      </c>
      <c r="H17" s="1">
        <f>-H15</f>
        <v>-5143899.5432697646</v>
      </c>
      <c r="K17" s="1">
        <v>0</v>
      </c>
    </row>
    <row r="18" spans="1:11" x14ac:dyDescent="0.2">
      <c r="A18" t="s">
        <v>4</v>
      </c>
      <c r="B18" s="1">
        <f>+B15+B17</f>
        <v>20263606.316932302</v>
      </c>
      <c r="C18" s="1">
        <f>+C15+C17</f>
        <v>75060.901205617789</v>
      </c>
      <c r="D18" s="1">
        <f>+D15+D17</f>
        <v>2142262.657286582</v>
      </c>
      <c r="E18" s="1">
        <f>+E15+E17</f>
        <v>606477.95577576477</v>
      </c>
      <c r="G18" s="1">
        <f>+G15+G17</f>
        <v>4223327.4687997289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27310735.299999993</v>
      </c>
    </row>
    <row r="20" spans="1:11" x14ac:dyDescent="0.2">
      <c r="A20" t="s">
        <v>7</v>
      </c>
      <c r="B20" s="1">
        <f>B$9/($K$9-$J$9-$I$9-$H$9-$G$9)*-$G$20</f>
        <v>3706775.8234682144</v>
      </c>
      <c r="C20" s="1">
        <f>C$9/($K$9-$J$9-$I$9-$H$9-$G$9)*-$G$20</f>
        <v>13730.72144834493</v>
      </c>
      <c r="D20" s="1">
        <f>D$9/($K$9-$J$9-$I$9-$H$9-$G$9)*-$G$20</f>
        <v>391879.27861158934</v>
      </c>
      <c r="E20" s="1">
        <f>E$9/($K$9-$J$9-$I$9-$H$9-$G$9)*-$G$20</f>
        <v>110941.64527157893</v>
      </c>
      <c r="G20" s="1">
        <f>-G18</f>
        <v>-4223327.4687997289</v>
      </c>
      <c r="K20" s="1">
        <f>SUM(B20:J20)</f>
        <v>0</v>
      </c>
    </row>
    <row r="22" spans="1:11" x14ac:dyDescent="0.2">
      <c r="A22" t="s">
        <v>8</v>
      </c>
      <c r="B22" s="1">
        <f>+B20+B18</f>
        <v>23970382.140400518</v>
      </c>
      <c r="C22" s="1">
        <f t="shared" ref="C22:K22" si="3">+C20+C18</f>
        <v>88791.622653962724</v>
      </c>
      <c r="D22" s="1">
        <f t="shared" si="3"/>
        <v>2534141.9358981713</v>
      </c>
      <c r="E22" s="1">
        <f t="shared" si="3"/>
        <v>717419.60104734369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27310735.299999993</v>
      </c>
    </row>
    <row r="27" spans="1:11" x14ac:dyDescent="0.2">
      <c r="A27" t="s">
        <v>9</v>
      </c>
      <c r="B27" s="1">
        <f>+B9</f>
        <v>12485257.9</v>
      </c>
    </row>
    <row r="28" spans="1:11" x14ac:dyDescent="0.2">
      <c r="A28" t="s">
        <v>10</v>
      </c>
      <c r="B28" s="1">
        <f>+B22-B27</f>
        <v>11485124.240400517</v>
      </c>
    </row>
    <row r="29" spans="1:11" x14ac:dyDescent="0.2">
      <c r="A29" s="22" t="s">
        <v>106</v>
      </c>
      <c r="B29" s="1">
        <v>1999</v>
      </c>
    </row>
    <row r="30" spans="1:11" x14ac:dyDescent="0.2">
      <c r="A30" t="s">
        <v>11</v>
      </c>
      <c r="B30" s="1">
        <f>+B28/B29</f>
        <v>5745.4348376190683</v>
      </c>
    </row>
  </sheetData>
  <phoneticPr fontId="0" type="noConversion"/>
  <pageMargins left="0.44" right="0.55000000000000004" top="1" bottom="0.53" header="0.5" footer="0.5"/>
  <pageSetup scale="10" orientation="landscape" horizontalDpi="4294967294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3">
    <pageSetUpPr fitToPage="1"/>
  </sheetPr>
  <dimension ref="A1:K30"/>
  <sheetViews>
    <sheetView zoomScale="75" workbookViewId="0">
      <selection activeCell="A29" sqref="A29:B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1" style="1" customWidth="1"/>
    <col min="8" max="8" width="10.5703125" style="1" customWidth="1"/>
    <col min="9" max="9" width="11" style="1" customWidth="1"/>
    <col min="10" max="10" width="10.28515625" style="1" customWidth="1"/>
    <col min="11" max="11" width="14" style="1" customWidth="1"/>
  </cols>
  <sheetData>
    <row r="1" spans="1:11" ht="15.75" x14ac:dyDescent="0.25">
      <c r="A1" s="4" t="str">
        <f>+System!$A$1</f>
        <v>MINNESOTA STATE - F.Y. 2024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28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Table'!B28</f>
        <v>29659984.239999998</v>
      </c>
      <c r="C9" s="1">
        <f>'Master Expend Table'!C28</f>
        <v>109665.82</v>
      </c>
      <c r="D9" s="1">
        <f>'Master Expend Table'!D28</f>
        <v>570304.03</v>
      </c>
      <c r="E9" s="1">
        <f>'Master Expend Table'!E28</f>
        <v>0</v>
      </c>
      <c r="G9" s="1">
        <f>'Master Expend Table'!G28</f>
        <v>14482040.66</v>
      </c>
      <c r="H9" s="1">
        <f>'Master Expend Table'!H28</f>
        <v>8302985.1299999999</v>
      </c>
      <c r="I9" s="1">
        <f>'Master Expend Table'!I28</f>
        <v>10939206.880000001</v>
      </c>
      <c r="J9" s="1">
        <f>'Master Expend Table'!J28</f>
        <v>6731908.3499999996</v>
      </c>
      <c r="K9" s="1">
        <f>SUM(B9:J9)</f>
        <v>70796095.109999999</v>
      </c>
    </row>
    <row r="11" spans="1:11" x14ac:dyDescent="0.2">
      <c r="A11" t="s">
        <v>3</v>
      </c>
      <c r="B11" s="1">
        <f>(B9/($K9-$J9))*-$J$11</f>
        <v>3116691.3319938066</v>
      </c>
      <c r="C11" s="1">
        <f t="shared" ref="C11:I11" si="0">(C9/($K9-$J9))*-$J$11</f>
        <v>11523.759009589854</v>
      </c>
      <c r="D11" s="1">
        <f t="shared" si="0"/>
        <v>59927.935649575251</v>
      </c>
      <c r="E11" s="1">
        <f t="shared" si="0"/>
        <v>0</v>
      </c>
      <c r="G11" s="1">
        <f t="shared" si="0"/>
        <v>1521782.6897471023</v>
      </c>
      <c r="H11" s="1">
        <f t="shared" si="0"/>
        <v>872483.32888340298</v>
      </c>
      <c r="I11" s="1">
        <f t="shared" si="0"/>
        <v>1149499.3047165226</v>
      </c>
      <c r="J11" s="1">
        <f>-J9</f>
        <v>-6731908.3499999996</v>
      </c>
      <c r="K11" s="1">
        <v>0</v>
      </c>
    </row>
    <row r="12" spans="1:11" x14ac:dyDescent="0.2">
      <c r="A12" t="s">
        <v>4</v>
      </c>
      <c r="B12" s="1">
        <f>+B9+B11</f>
        <v>32776675.571993805</v>
      </c>
      <c r="C12" s="1">
        <f t="shared" ref="C12:J12" si="1">+C9+C11</f>
        <v>121189.57900958986</v>
      </c>
      <c r="D12" s="1">
        <f t="shared" si="1"/>
        <v>630231.96564957523</v>
      </c>
      <c r="E12" s="1">
        <f t="shared" si="1"/>
        <v>0</v>
      </c>
      <c r="G12" s="1">
        <f t="shared" si="1"/>
        <v>16003823.349747103</v>
      </c>
      <c r="H12" s="1">
        <f t="shared" si="1"/>
        <v>9175468.4588834029</v>
      </c>
      <c r="I12" s="1">
        <f t="shared" si="1"/>
        <v>12088706.184716523</v>
      </c>
      <c r="J12" s="1">
        <f t="shared" si="1"/>
        <v>0</v>
      </c>
      <c r="K12" s="1">
        <f>SUM(B12:J12)</f>
        <v>70796095.109999999</v>
      </c>
    </row>
    <row r="14" spans="1:11" x14ac:dyDescent="0.2">
      <c r="A14" t="s">
        <v>5</v>
      </c>
      <c r="B14" s="1">
        <f>B$9/($K$9-$J$9-$I$9)*-I14</f>
        <v>6749194.7428608146</v>
      </c>
      <c r="C14" s="1">
        <f t="shared" ref="C14:H14" si="2">C$9/($K$9-$J$9-$I$9)*-$I$14</f>
        <v>24954.698890815074</v>
      </c>
      <c r="D14" s="1">
        <f t="shared" si="2"/>
        <v>129773.93817753212</v>
      </c>
      <c r="E14" s="1">
        <f t="shared" si="2"/>
        <v>0</v>
      </c>
      <c r="G14" s="1">
        <f t="shared" si="2"/>
        <v>3295420.2503099032</v>
      </c>
      <c r="H14" s="1">
        <f t="shared" si="2"/>
        <v>1889362.5544774577</v>
      </c>
      <c r="I14" s="1">
        <f>-I12</f>
        <v>-12088706.184716523</v>
      </c>
      <c r="K14" s="1">
        <v>0</v>
      </c>
    </row>
    <row r="15" spans="1:11" x14ac:dyDescent="0.2">
      <c r="A15" t="s">
        <v>4</v>
      </c>
      <c r="B15" s="1">
        <f>+B12+B14</f>
        <v>39525870.314854622</v>
      </c>
      <c r="C15" s="1">
        <f>+C12+C14</f>
        <v>146144.27790040494</v>
      </c>
      <c r="D15" s="1">
        <f>+D12+D14</f>
        <v>760005.9038271074</v>
      </c>
      <c r="E15" s="1">
        <f>+E12+E14</f>
        <v>0</v>
      </c>
      <c r="G15" s="1">
        <f>+G12+G14</f>
        <v>19299243.600057006</v>
      </c>
      <c r="H15" s="1">
        <f>+H12+H14</f>
        <v>11064831.01336086</v>
      </c>
      <c r="I15" s="1">
        <f>+I12+I14</f>
        <v>0</v>
      </c>
      <c r="J15" s="1">
        <f>+J12+J14</f>
        <v>0</v>
      </c>
      <c r="K15" s="1">
        <f>SUM(B15:J15)</f>
        <v>70796095.109999999</v>
      </c>
    </row>
    <row r="17" spans="1:11" x14ac:dyDescent="0.2">
      <c r="A17" t="s">
        <v>6</v>
      </c>
      <c r="B17" s="1">
        <f>B$9/($K$9-$J$9-$I$9-$H$9)*-$H$17</f>
        <v>7321912.2733163573</v>
      </c>
      <c r="C17" s="1">
        <f>C$9/($K$9-$J$9-$I$9-$H$9)*-$H$17</f>
        <v>27072.283886732865</v>
      </c>
      <c r="D17" s="1">
        <f>D$9/($K$9-$J$9-$I$9-$H$9)*-$H$17</f>
        <v>140786.1866341565</v>
      </c>
      <c r="E17" s="1">
        <f>E$9/($K$9-$J$9-$I$9-$H$9)*-$H$17</f>
        <v>0</v>
      </c>
      <c r="G17" s="1">
        <f>G$9/($K$9-$J$9-$I$9-$H$9)*-$H$17</f>
        <v>3575060.2695236136</v>
      </c>
      <c r="H17" s="1">
        <f>-H15</f>
        <v>-11064831.01336086</v>
      </c>
      <c r="K17" s="1">
        <v>0</v>
      </c>
    </row>
    <row r="18" spans="1:11" x14ac:dyDescent="0.2">
      <c r="A18" t="s">
        <v>4</v>
      </c>
      <c r="B18" s="1">
        <f>+B15+B17</f>
        <v>46847782.588170975</v>
      </c>
      <c r="C18" s="1">
        <f>+C15+C17</f>
        <v>173216.56178713779</v>
      </c>
      <c r="D18" s="1">
        <f>+D15+D17</f>
        <v>900792.0904612639</v>
      </c>
      <c r="E18" s="1">
        <f>+E15+E17</f>
        <v>0</v>
      </c>
      <c r="G18" s="1">
        <f>+G15+G17</f>
        <v>22874303.869580619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70796095.109999985</v>
      </c>
    </row>
    <row r="20" spans="1:11" x14ac:dyDescent="0.2">
      <c r="A20" t="s">
        <v>7</v>
      </c>
      <c r="B20" s="1">
        <f>B$9/($K$9-$J$9-$I$9-$H$9-$G$9)*-$G$20</f>
        <v>22361651.908245597</v>
      </c>
      <c r="C20" s="1">
        <f>C$9/($K$9-$J$9-$I$9-$H$9-$G$9)*-$G$20</f>
        <v>82680.721379652299</v>
      </c>
      <c r="D20" s="1">
        <f>D$9/($K$9-$J$9-$I$9-$H$9-$G$9)*-$G$20</f>
        <v>429971.23995537416</v>
      </c>
      <c r="E20" s="1">
        <f>E$9/($K$9-$J$9-$I$9-$H$9-$G$9)*-$G$20</f>
        <v>0</v>
      </c>
      <c r="G20" s="1">
        <f>-G18</f>
        <v>-22874303.869580619</v>
      </c>
      <c r="K20" s="1">
        <f>SUM(B20:J20)</f>
        <v>0</v>
      </c>
    </row>
    <row r="22" spans="1:11" x14ac:dyDescent="0.2">
      <c r="A22" t="s">
        <v>8</v>
      </c>
      <c r="B22" s="1">
        <f>+B20+B18</f>
        <v>69209434.496416569</v>
      </c>
      <c r="C22" s="1">
        <f t="shared" ref="C22:K22" si="3">+C20+C18</f>
        <v>255897.28316679009</v>
      </c>
      <c r="D22" s="1">
        <f t="shared" si="3"/>
        <v>1330763.3304166379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70796095.109999985</v>
      </c>
    </row>
    <row r="27" spans="1:11" x14ac:dyDescent="0.2">
      <c r="A27" t="s">
        <v>9</v>
      </c>
      <c r="B27" s="1">
        <f>+B9</f>
        <v>29659984.239999998</v>
      </c>
    </row>
    <row r="28" spans="1:11" x14ac:dyDescent="0.2">
      <c r="A28" t="s">
        <v>10</v>
      </c>
      <c r="B28" s="1">
        <f>+B22-B27</f>
        <v>39549450.256416574</v>
      </c>
    </row>
    <row r="29" spans="1:11" x14ac:dyDescent="0.2">
      <c r="A29" s="22" t="s">
        <v>106</v>
      </c>
      <c r="B29" s="1">
        <v>6481</v>
      </c>
    </row>
    <row r="30" spans="1:11" x14ac:dyDescent="0.2">
      <c r="A30" t="s">
        <v>11</v>
      </c>
      <c r="B30" s="1">
        <f>+B28/B29</f>
        <v>6102.3685012215046</v>
      </c>
    </row>
  </sheetData>
  <phoneticPr fontId="0" type="noConversion"/>
  <pageMargins left="0.54" right="0.55000000000000004" top="1" bottom="0.57999999999999996" header="0.5" footer="0.5"/>
  <pageSetup scale="10" orientation="landscape" horizontalDpi="4294967294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4">
    <pageSetUpPr fitToPage="1"/>
  </sheetPr>
  <dimension ref="A1:K30"/>
  <sheetViews>
    <sheetView zoomScale="75" workbookViewId="0">
      <selection activeCell="A29" sqref="A29:B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6.85546875" style="1" customWidth="1"/>
  </cols>
  <sheetData>
    <row r="1" spans="1:11" ht="15.75" x14ac:dyDescent="0.25">
      <c r="A1" s="4" t="str">
        <f>+System!$A$1</f>
        <v>MINNESOTA STATE - F.Y. 2024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29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Table'!B29</f>
        <v>16947332.890000001</v>
      </c>
      <c r="C9" s="1">
        <f>'Master Expend Table'!C29</f>
        <v>0</v>
      </c>
      <c r="D9" s="1">
        <f>'Master Expend Table'!D29</f>
        <v>0</v>
      </c>
      <c r="E9" s="1">
        <f>'Master Expend Table'!E29</f>
        <v>0</v>
      </c>
      <c r="G9" s="1">
        <f>'Master Expend Table'!G29</f>
        <v>7331206.7599999998</v>
      </c>
      <c r="H9" s="1">
        <f>'Master Expend Table'!H29</f>
        <v>5977362.54</v>
      </c>
      <c r="I9" s="1">
        <f>'Master Expend Table'!I29</f>
        <v>5532001.5499999998</v>
      </c>
      <c r="J9" s="1">
        <f>'Master Expend Table'!J29</f>
        <v>4045177.42</v>
      </c>
      <c r="K9" s="1">
        <f>SUM(B9:J9)</f>
        <v>39833081.159999996</v>
      </c>
    </row>
    <row r="11" spans="1:11" x14ac:dyDescent="0.2">
      <c r="A11" t="s">
        <v>3</v>
      </c>
      <c r="B11" s="1">
        <f>(B9/($K9-$J9))*-$J$11</f>
        <v>1915590.4976694048</v>
      </c>
      <c r="C11" s="1">
        <f t="shared" ref="C11:I11" si="0">(C9/($K9-$J9))*-$J$11</f>
        <v>0</v>
      </c>
      <c r="D11" s="1">
        <f t="shared" si="0"/>
        <v>0</v>
      </c>
      <c r="E11" s="1">
        <f t="shared" si="0"/>
        <v>0</v>
      </c>
      <c r="G11" s="1">
        <f t="shared" si="0"/>
        <v>828660.77494661778</v>
      </c>
      <c r="H11" s="1">
        <f t="shared" si="0"/>
        <v>675633.0897061323</v>
      </c>
      <c r="I11" s="1">
        <f t="shared" si="0"/>
        <v>625293.05767784547</v>
      </c>
      <c r="J11" s="1">
        <f>-J9</f>
        <v>-4045177.42</v>
      </c>
      <c r="K11" s="1">
        <v>0</v>
      </c>
    </row>
    <row r="12" spans="1:11" x14ac:dyDescent="0.2">
      <c r="A12" t="s">
        <v>4</v>
      </c>
      <c r="B12" s="1">
        <f>+B9+B11</f>
        <v>18862923.387669407</v>
      </c>
      <c r="C12" s="1">
        <f t="shared" ref="C12:J12" si="1">+C9+C11</f>
        <v>0</v>
      </c>
      <c r="D12" s="1">
        <f t="shared" si="1"/>
        <v>0</v>
      </c>
      <c r="E12" s="1">
        <f t="shared" si="1"/>
        <v>0</v>
      </c>
      <c r="G12" s="1">
        <f t="shared" si="1"/>
        <v>8159867.5349466177</v>
      </c>
      <c r="H12" s="1">
        <f t="shared" si="1"/>
        <v>6652995.6297061322</v>
      </c>
      <c r="I12" s="1">
        <f t="shared" si="1"/>
        <v>6157294.6076778453</v>
      </c>
      <c r="J12" s="1">
        <f t="shared" si="1"/>
        <v>0</v>
      </c>
      <c r="K12" s="1">
        <f>SUM(B12:J12)</f>
        <v>39833081.160000004</v>
      </c>
    </row>
    <row r="14" spans="1:11" x14ac:dyDescent="0.2">
      <c r="A14" t="s">
        <v>5</v>
      </c>
      <c r="B14" s="1">
        <f>B$9/($K$9-$J$9-$I$9)*-I14</f>
        <v>3448904.6389304982</v>
      </c>
      <c r="C14" s="1">
        <f t="shared" ref="C14:H14" si="2">C$9/($K$9-$J$9-$I$9)*-$I$14</f>
        <v>0</v>
      </c>
      <c r="D14" s="1">
        <f t="shared" si="2"/>
        <v>0</v>
      </c>
      <c r="E14" s="1">
        <f t="shared" si="2"/>
        <v>0</v>
      </c>
      <c r="G14" s="1">
        <f t="shared" si="2"/>
        <v>1491953.5225771226</v>
      </c>
      <c r="H14" s="1">
        <f t="shared" si="2"/>
        <v>1216436.446170226</v>
      </c>
      <c r="I14" s="1">
        <f>-I12</f>
        <v>-6157294.6076778453</v>
      </c>
      <c r="K14" s="1">
        <v>0</v>
      </c>
    </row>
    <row r="15" spans="1:11" x14ac:dyDescent="0.2">
      <c r="A15" t="s">
        <v>4</v>
      </c>
      <c r="B15" s="1">
        <f>+B12+B14</f>
        <v>22311828.026599906</v>
      </c>
      <c r="C15" s="1">
        <f>+C12+C14</f>
        <v>0</v>
      </c>
      <c r="D15" s="1">
        <f>+D12+D14</f>
        <v>0</v>
      </c>
      <c r="E15" s="1">
        <f>+E12+E14</f>
        <v>0</v>
      </c>
      <c r="G15" s="1">
        <f>+G12+G14</f>
        <v>9651821.0575237405</v>
      </c>
      <c r="H15" s="1">
        <f>+H12+H14</f>
        <v>7869432.075876358</v>
      </c>
      <c r="I15" s="1">
        <f>+I12+I14</f>
        <v>0</v>
      </c>
      <c r="J15" s="1">
        <f>+J12+J14</f>
        <v>0</v>
      </c>
      <c r="K15" s="1">
        <f>SUM(B15:J15)</f>
        <v>39833081.160000004</v>
      </c>
    </row>
    <row r="17" spans="1:11" x14ac:dyDescent="0.2">
      <c r="A17" t="s">
        <v>6</v>
      </c>
      <c r="B17" s="1">
        <f>B$9/($K$9-$J$9-$I$9-$H$9)*-$H$17</f>
        <v>5493159.26607309</v>
      </c>
      <c r="C17" s="1">
        <f>C$9/($K$9-$J$9-$I$9-$H$9)*-$H$17</f>
        <v>0</v>
      </c>
      <c r="D17" s="1">
        <f>D$9/($K$9-$J$9-$I$9-$H$9)*-$H$17</f>
        <v>0</v>
      </c>
      <c r="E17" s="1">
        <f>E$9/($K$9-$J$9-$I$9-$H$9)*-$H$17</f>
        <v>0</v>
      </c>
      <c r="G17" s="1">
        <f>G$9/($K$9-$J$9-$I$9-$H$9)*-$H$17</f>
        <v>2376272.8098032698</v>
      </c>
      <c r="H17" s="1">
        <f>-H15</f>
        <v>-7869432.075876358</v>
      </c>
      <c r="K17" s="1">
        <v>0</v>
      </c>
    </row>
    <row r="18" spans="1:11" x14ac:dyDescent="0.2">
      <c r="A18" t="s">
        <v>4</v>
      </c>
      <c r="B18" s="1">
        <f>+B15+B17</f>
        <v>27804987.292672995</v>
      </c>
      <c r="C18" s="1">
        <f>+C15+C17</f>
        <v>0</v>
      </c>
      <c r="D18" s="1">
        <f>+D15+D17</f>
        <v>0</v>
      </c>
      <c r="E18" s="1">
        <f>+E15+E17</f>
        <v>0</v>
      </c>
      <c r="G18" s="1">
        <f>+G15+G17</f>
        <v>12028093.86732701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39833081.160000004</v>
      </c>
    </row>
    <row r="20" spans="1:11" x14ac:dyDescent="0.2">
      <c r="A20" t="s">
        <v>7</v>
      </c>
      <c r="B20" s="1">
        <f>B$9/($K$9-$J$9-$I$9-$H$9-$G$9)*-$G$20</f>
        <v>12028093.867327016</v>
      </c>
      <c r="C20" s="1">
        <f>C$9/($K$9-$J$9-$I$9-$H$9-$G$9)*-$G$20</f>
        <v>0</v>
      </c>
      <c r="D20" s="1">
        <f>D$9/($K$9-$J$9-$I$9-$H$9-$G$9)*-$G$20</f>
        <v>0</v>
      </c>
      <c r="E20" s="1">
        <f>E$9/($K$9-$J$9-$I$9-$H$9-$G$9)*-$G$20</f>
        <v>0</v>
      </c>
      <c r="G20" s="1">
        <f>-G18</f>
        <v>-12028093.86732701</v>
      </c>
      <c r="K20" s="1">
        <f>SUM(B20:J20)</f>
        <v>0</v>
      </c>
    </row>
    <row r="22" spans="1:11" x14ac:dyDescent="0.2">
      <c r="A22" t="s">
        <v>8</v>
      </c>
      <c r="B22" s="1">
        <f>+B20+B18</f>
        <v>39833081.160000011</v>
      </c>
      <c r="C22" s="1">
        <f t="shared" ref="C22:K22" si="3">+C20+C18</f>
        <v>0</v>
      </c>
      <c r="D22" s="1">
        <f t="shared" si="3"/>
        <v>0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39833081.160000004</v>
      </c>
    </row>
    <row r="27" spans="1:11" x14ac:dyDescent="0.2">
      <c r="A27" t="s">
        <v>9</v>
      </c>
      <c r="B27" s="1">
        <f>+B9</f>
        <v>16947332.890000001</v>
      </c>
    </row>
    <row r="28" spans="1:11" x14ac:dyDescent="0.2">
      <c r="A28" t="s">
        <v>10</v>
      </c>
      <c r="B28" s="1">
        <f>+B22-B27</f>
        <v>22885748.270000011</v>
      </c>
    </row>
    <row r="29" spans="1:11" x14ac:dyDescent="0.2">
      <c r="A29" s="22" t="s">
        <v>106</v>
      </c>
      <c r="B29" s="1">
        <v>3011</v>
      </c>
    </row>
    <row r="30" spans="1:11" x14ac:dyDescent="0.2">
      <c r="A30" t="s">
        <v>11</v>
      </c>
      <c r="B30" s="1">
        <f>+B28/B29</f>
        <v>7600.7134739289304</v>
      </c>
    </row>
  </sheetData>
  <phoneticPr fontId="0" type="noConversion"/>
  <pageMargins left="0.56000000000000005" right="0.55000000000000004" top="1" bottom="0.46" header="0.5" footer="0.5"/>
  <pageSetup scale="10" orientation="landscape" horizontalDpi="4294967294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5">
    <pageSetUpPr fitToPage="1"/>
  </sheetPr>
  <dimension ref="A1:K30"/>
  <sheetViews>
    <sheetView zoomScale="75" workbookViewId="0">
      <selection activeCell="A29" sqref="A29:B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" style="1" customWidth="1"/>
  </cols>
  <sheetData>
    <row r="1" spans="1:11" ht="15.75" x14ac:dyDescent="0.25">
      <c r="A1" s="4" t="str">
        <f>+System!$A$1</f>
        <v>MINNESOTA STATE - F.Y. 2024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34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Table'!B30</f>
        <v>15706132.98</v>
      </c>
      <c r="C9" s="1">
        <f>'Master Expend Table'!C30</f>
        <v>0</v>
      </c>
      <c r="D9" s="1">
        <f>'Master Expend Table'!D30</f>
        <v>1402178.14</v>
      </c>
      <c r="E9" s="1">
        <f>'Master Expend Table'!E30</f>
        <v>2637993.27</v>
      </c>
      <c r="G9" s="1">
        <f>'Master Expend Table'!G30</f>
        <v>2503138.67</v>
      </c>
      <c r="H9" s="1">
        <f>'Master Expend Table'!H30</f>
        <v>5068435.75</v>
      </c>
      <c r="I9" s="1">
        <f>'Master Expend Table'!I30</f>
        <v>8614736.2699999996</v>
      </c>
      <c r="J9" s="1">
        <f>'Master Expend Table'!J30</f>
        <v>5470181.6900000004</v>
      </c>
      <c r="K9" s="1">
        <f>SUM(B9:J9)</f>
        <v>41402796.769999996</v>
      </c>
    </row>
    <row r="11" spans="1:11" x14ac:dyDescent="0.2">
      <c r="A11" t="s">
        <v>3</v>
      </c>
      <c r="B11" s="1">
        <f>(B9/($K9-$J9))*-$J$11</f>
        <v>2391014.426771333</v>
      </c>
      <c r="C11" s="1">
        <f t="shared" ref="C11:I11" si="0">(C9/($K9-$J9))*-$J$11</f>
        <v>0</v>
      </c>
      <c r="D11" s="1">
        <f t="shared" si="0"/>
        <v>213459.80999349678</v>
      </c>
      <c r="E11" s="1">
        <f t="shared" si="0"/>
        <v>401593.43960270501</v>
      </c>
      <c r="G11" s="1">
        <f t="shared" si="0"/>
        <v>381063.9245064641</v>
      </c>
      <c r="H11" s="1">
        <f t="shared" si="0"/>
        <v>771590.50001966686</v>
      </c>
      <c r="I11" s="1">
        <f t="shared" si="0"/>
        <v>1311459.5891063351</v>
      </c>
      <c r="J11" s="1">
        <f>-J9</f>
        <v>-5470181.6900000004</v>
      </c>
      <c r="K11" s="1">
        <v>0</v>
      </c>
    </row>
    <row r="12" spans="1:11" x14ac:dyDescent="0.2">
      <c r="A12" t="s">
        <v>4</v>
      </c>
      <c r="B12" s="1">
        <f>+B9+B11</f>
        <v>18097147.406771332</v>
      </c>
      <c r="C12" s="1">
        <f t="shared" ref="C12:J12" si="1">+C9+C11</f>
        <v>0</v>
      </c>
      <c r="D12" s="1">
        <f t="shared" si="1"/>
        <v>1615637.9499934968</v>
      </c>
      <c r="E12" s="1">
        <f t="shared" si="1"/>
        <v>3039586.7096027052</v>
      </c>
      <c r="G12" s="1">
        <f t="shared" si="1"/>
        <v>2884202.594506464</v>
      </c>
      <c r="H12" s="1">
        <f t="shared" si="1"/>
        <v>5840026.2500196667</v>
      </c>
      <c r="I12" s="1">
        <f t="shared" si="1"/>
        <v>9926195.8591063339</v>
      </c>
      <c r="J12" s="1">
        <f t="shared" si="1"/>
        <v>0</v>
      </c>
      <c r="K12" s="1">
        <f>SUM(B12:J12)</f>
        <v>41402796.770000003</v>
      </c>
    </row>
    <row r="14" spans="1:11" x14ac:dyDescent="0.2">
      <c r="A14" t="s">
        <v>5</v>
      </c>
      <c r="B14" s="1">
        <f>B$9/($K$9-$J$9-$I$9)*-I14</f>
        <v>5706964.044791786</v>
      </c>
      <c r="C14" s="1">
        <f t="shared" ref="C14:H14" si="2">C$9/($K$9-$J$9-$I$9)*-$I$14</f>
        <v>0</v>
      </c>
      <c r="D14" s="1">
        <f t="shared" si="2"/>
        <v>509493.98171802715</v>
      </c>
      <c r="E14" s="1">
        <f t="shared" si="2"/>
        <v>958538.47420389741</v>
      </c>
      <c r="G14" s="1">
        <f t="shared" si="2"/>
        <v>909537.84785909369</v>
      </c>
      <c r="H14" s="1">
        <f t="shared" si="2"/>
        <v>1841661.5105335298</v>
      </c>
      <c r="I14" s="1">
        <f>-I12</f>
        <v>-9926195.8591063339</v>
      </c>
      <c r="K14" s="1">
        <v>0</v>
      </c>
    </row>
    <row r="15" spans="1:11" x14ac:dyDescent="0.2">
      <c r="A15" t="s">
        <v>4</v>
      </c>
      <c r="B15" s="1">
        <f>+B12+B14</f>
        <v>23804111.45156312</v>
      </c>
      <c r="C15" s="1">
        <f>+C12+C14</f>
        <v>0</v>
      </c>
      <c r="D15" s="1">
        <f>+D12+D14</f>
        <v>2125131.9317115238</v>
      </c>
      <c r="E15" s="1">
        <f>+E12+E14</f>
        <v>3998125.1838066028</v>
      </c>
      <c r="G15" s="1">
        <f>+G12+G14</f>
        <v>3793740.4423655579</v>
      </c>
      <c r="H15" s="1">
        <f>+H12+H14</f>
        <v>7681687.7605531961</v>
      </c>
      <c r="I15" s="1">
        <f>+I12+I14</f>
        <v>0</v>
      </c>
      <c r="J15" s="1">
        <f>+J12+J14</f>
        <v>0</v>
      </c>
      <c r="K15" s="1">
        <f>SUM(B15:J15)</f>
        <v>41402796.770000003</v>
      </c>
    </row>
    <row r="17" spans="1:11" x14ac:dyDescent="0.2">
      <c r="A17" t="s">
        <v>6</v>
      </c>
      <c r="B17" s="1">
        <f>B$9/($K$9-$J$9-$I$9-$H$9)*-$H$17</f>
        <v>5422590.0914792111</v>
      </c>
      <c r="C17" s="1">
        <f>C$9/($K$9-$J$9-$I$9-$H$9)*-$H$17</f>
        <v>0</v>
      </c>
      <c r="D17" s="1">
        <f>D$9/($K$9-$J$9-$I$9-$H$9)*-$H$17</f>
        <v>484106.25951880548</v>
      </c>
      <c r="E17" s="1">
        <f>E$9/($K$9-$J$9-$I$9-$H$9)*-$H$17</f>
        <v>910775.18479605054</v>
      </c>
      <c r="G17" s="1">
        <f>G$9/($K$9-$J$9-$I$9-$H$9)*-$H$17</f>
        <v>864216.22475912911</v>
      </c>
      <c r="H17" s="1">
        <f>-H15</f>
        <v>-7681687.7605531961</v>
      </c>
      <c r="K17" s="1">
        <v>0</v>
      </c>
    </row>
    <row r="18" spans="1:11" x14ac:dyDescent="0.2">
      <c r="A18" t="s">
        <v>4</v>
      </c>
      <c r="B18" s="1">
        <f>+B15+B17</f>
        <v>29226701.543042332</v>
      </c>
      <c r="C18" s="1">
        <f>+C15+C17</f>
        <v>0</v>
      </c>
      <c r="D18" s="1">
        <f>+D15+D17</f>
        <v>2609238.1912303292</v>
      </c>
      <c r="E18" s="1">
        <f>+E15+E17</f>
        <v>4908900.368602653</v>
      </c>
      <c r="G18" s="1">
        <f>+G15+G17</f>
        <v>4657956.6671246868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41402796.770000003</v>
      </c>
    </row>
    <row r="20" spans="1:11" x14ac:dyDescent="0.2">
      <c r="A20" t="s">
        <v>7</v>
      </c>
      <c r="B20" s="1">
        <f>B$9/($K$9-$J$9-$I$9-$H$9-$G$9)*-$G$20</f>
        <v>3704920.444049628</v>
      </c>
      <c r="C20" s="1">
        <f>C$9/($K$9-$J$9-$I$9-$H$9-$G$9)*-$G$20</f>
        <v>0</v>
      </c>
      <c r="D20" s="1">
        <f>D$9/($K$9-$J$9-$I$9-$H$9-$G$9)*-$G$20</f>
        <v>330759.86709781963</v>
      </c>
      <c r="E20" s="1">
        <f>E$9/($K$9-$J$9-$I$9-$H$9-$G$9)*-$G$20</f>
        <v>622276.35597723885</v>
      </c>
      <c r="G20" s="1">
        <f>-G18</f>
        <v>-4657956.6671246868</v>
      </c>
      <c r="K20" s="1">
        <f>SUM(B20:J20)</f>
        <v>0</v>
      </c>
    </row>
    <row r="22" spans="1:11" x14ac:dyDescent="0.2">
      <c r="A22" t="s">
        <v>8</v>
      </c>
      <c r="B22" s="1">
        <f>+B20+B18</f>
        <v>32931621.987091959</v>
      </c>
      <c r="C22" s="1">
        <f t="shared" ref="C22:K22" si="3">+C20+C18</f>
        <v>0</v>
      </c>
      <c r="D22" s="1">
        <f t="shared" si="3"/>
        <v>2939998.0583281489</v>
      </c>
      <c r="E22" s="1">
        <f t="shared" si="3"/>
        <v>5531176.7245798921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41402796.770000003</v>
      </c>
    </row>
    <row r="27" spans="1:11" x14ac:dyDescent="0.2">
      <c r="A27" t="s">
        <v>9</v>
      </c>
      <c r="B27" s="1">
        <f>+B9</f>
        <v>15706132.98</v>
      </c>
    </row>
    <row r="28" spans="1:11" x14ac:dyDescent="0.2">
      <c r="A28" t="s">
        <v>10</v>
      </c>
      <c r="B28" s="1">
        <f>+B22-B27</f>
        <v>17225489.007091958</v>
      </c>
    </row>
    <row r="29" spans="1:11" x14ac:dyDescent="0.2">
      <c r="A29" s="22" t="s">
        <v>106</v>
      </c>
      <c r="B29" s="1">
        <v>2459</v>
      </c>
    </row>
    <row r="30" spans="1:11" x14ac:dyDescent="0.2">
      <c r="A30" t="s">
        <v>11</v>
      </c>
      <c r="B30" s="1">
        <f>+B28/B29</f>
        <v>7005.0788967433746</v>
      </c>
    </row>
  </sheetData>
  <phoneticPr fontId="0" type="noConversion"/>
  <pageMargins left="0.56000000000000005" right="0.59" top="0.82" bottom="1" header="0.5" footer="0.5"/>
  <pageSetup scale="1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6">
    <pageSetUpPr fitToPage="1"/>
  </sheetPr>
  <dimension ref="A1:K30"/>
  <sheetViews>
    <sheetView zoomScale="75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10" width="10.28515625" style="1" customWidth="1"/>
    <col min="11" max="11" width="11.42578125" style="1" customWidth="1"/>
  </cols>
  <sheetData>
    <row r="1" spans="1:11" ht="15.75" x14ac:dyDescent="0.25">
      <c r="A1" s="4" t="str">
        <f>+System!$A$1</f>
        <v>MINNESOTA STATE - F.Y. 2024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91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 t="e">
        <f>'Master Expend Table'!#REF!</f>
        <v>#REF!</v>
      </c>
      <c r="C9" s="1" t="e">
        <f>'Master Expend Table'!#REF!</f>
        <v>#REF!</v>
      </c>
      <c r="D9" s="1" t="e">
        <f>'Master Expend Table'!#REF!</f>
        <v>#REF!</v>
      </c>
      <c r="E9" s="1" t="e">
        <f>'Master Expend Table'!#REF!</f>
        <v>#REF!</v>
      </c>
      <c r="G9" s="1" t="e">
        <f>'Master Expend Table'!#REF!</f>
        <v>#REF!</v>
      </c>
      <c r="H9" s="1" t="e">
        <f>'Master Expend Table'!#REF!</f>
        <v>#REF!</v>
      </c>
      <c r="I9" s="1" t="e">
        <f>'Master Expend Table'!#REF!</f>
        <v>#REF!</v>
      </c>
      <c r="J9" s="1" t="e">
        <f>'Master Expend Table'!#REF!</f>
        <v>#REF!</v>
      </c>
      <c r="K9" s="1" t="e">
        <f>SUM(B9:J9)</f>
        <v>#REF!</v>
      </c>
    </row>
    <row r="11" spans="1:11" x14ac:dyDescent="0.2">
      <c r="A11" t="s">
        <v>3</v>
      </c>
      <c r="B11" s="1" t="e">
        <f>(B9/($K9-$J9))*-$J$11</f>
        <v>#REF!</v>
      </c>
      <c r="C11" s="1" t="e">
        <f t="shared" ref="C11:I11" si="0">(C9/($K9-$J9))*-$J$11</f>
        <v>#REF!</v>
      </c>
      <c r="D11" s="1" t="e">
        <f t="shared" si="0"/>
        <v>#REF!</v>
      </c>
      <c r="E11" s="1" t="e">
        <f t="shared" si="0"/>
        <v>#REF!</v>
      </c>
      <c r="G11" s="1" t="e">
        <f t="shared" si="0"/>
        <v>#REF!</v>
      </c>
      <c r="H11" s="1" t="e">
        <f t="shared" si="0"/>
        <v>#REF!</v>
      </c>
      <c r="I11" s="1" t="e">
        <f t="shared" si="0"/>
        <v>#REF!</v>
      </c>
      <c r="J11" s="1" t="e">
        <f>-J9</f>
        <v>#REF!</v>
      </c>
      <c r="K11" s="1">
        <v>0</v>
      </c>
    </row>
    <row r="12" spans="1:11" x14ac:dyDescent="0.2">
      <c r="A12" t="s">
        <v>4</v>
      </c>
      <c r="B12" s="1" t="e">
        <f>+B9+B11</f>
        <v>#REF!</v>
      </c>
      <c r="C12" s="1" t="e">
        <f t="shared" ref="C12:J12" si="1">+C9+C11</f>
        <v>#REF!</v>
      </c>
      <c r="D12" s="1" t="e">
        <f t="shared" si="1"/>
        <v>#REF!</v>
      </c>
      <c r="E12" s="1" t="e">
        <f t="shared" si="1"/>
        <v>#REF!</v>
      </c>
      <c r="G12" s="1" t="e">
        <f t="shared" si="1"/>
        <v>#REF!</v>
      </c>
      <c r="H12" s="1" t="e">
        <f t="shared" si="1"/>
        <v>#REF!</v>
      </c>
      <c r="I12" s="1" t="e">
        <f t="shared" si="1"/>
        <v>#REF!</v>
      </c>
      <c r="J12" s="1" t="e">
        <f t="shared" si="1"/>
        <v>#REF!</v>
      </c>
      <c r="K12" s="1" t="e">
        <f>SUM(B12:J12)</f>
        <v>#REF!</v>
      </c>
    </row>
    <row r="14" spans="1:11" x14ac:dyDescent="0.2">
      <c r="A14" t="s">
        <v>5</v>
      </c>
      <c r="B14" s="1" t="e">
        <f>B$9/($K$9-$J$9-$I$9)*-I14</f>
        <v>#REF!</v>
      </c>
      <c r="C14" s="1" t="e">
        <f t="shared" ref="C14:H14" si="2">C$9/($K$9-$J$9-$I$9)*-$I$14</f>
        <v>#REF!</v>
      </c>
      <c r="D14" s="1" t="e">
        <f t="shared" si="2"/>
        <v>#REF!</v>
      </c>
      <c r="E14" s="1" t="e">
        <f t="shared" si="2"/>
        <v>#REF!</v>
      </c>
      <c r="G14" s="1" t="e">
        <f t="shared" si="2"/>
        <v>#REF!</v>
      </c>
      <c r="H14" s="1" t="e">
        <f t="shared" si="2"/>
        <v>#REF!</v>
      </c>
      <c r="I14" s="1" t="e">
        <f>-I12</f>
        <v>#REF!</v>
      </c>
      <c r="K14" s="1">
        <v>0</v>
      </c>
    </row>
    <row r="15" spans="1:11" x14ac:dyDescent="0.2">
      <c r="A15" t="s">
        <v>4</v>
      </c>
      <c r="B15" s="1" t="e">
        <f>+B12+B14</f>
        <v>#REF!</v>
      </c>
      <c r="C15" s="1" t="e">
        <f>+C12+C14</f>
        <v>#REF!</v>
      </c>
      <c r="D15" s="1" t="e">
        <f>+D12+D14</f>
        <v>#REF!</v>
      </c>
      <c r="E15" s="1" t="e">
        <f>+E12+E14</f>
        <v>#REF!</v>
      </c>
      <c r="G15" s="1" t="e">
        <f>+G12+G14</f>
        <v>#REF!</v>
      </c>
      <c r="H15" s="1" t="e">
        <f>+H12+H14</f>
        <v>#REF!</v>
      </c>
      <c r="I15" s="1" t="e">
        <f>+I12+I14</f>
        <v>#REF!</v>
      </c>
      <c r="J15" s="1" t="e">
        <f>+J12+J14</f>
        <v>#REF!</v>
      </c>
      <c r="K15" s="1" t="e">
        <f>SUM(B15:J15)</f>
        <v>#REF!</v>
      </c>
    </row>
    <row r="17" spans="1:11" x14ac:dyDescent="0.2">
      <c r="A17" t="s">
        <v>6</v>
      </c>
      <c r="B17" s="1" t="e">
        <f>B$9/($K$9-$J$9-$I$9-$H$9)*-$H$17</f>
        <v>#REF!</v>
      </c>
      <c r="C17" s="1" t="e">
        <f>C$9/($K$9-$J$9-$I$9-$H$9)*-$H$17</f>
        <v>#REF!</v>
      </c>
      <c r="D17" s="1" t="e">
        <f>D$9/($K$9-$J$9-$I$9-$H$9)*-$H$17</f>
        <v>#REF!</v>
      </c>
      <c r="E17" s="1" t="e">
        <f>E$9/($K$9-$J$9-$I$9-$H$9)*-$H$17</f>
        <v>#REF!</v>
      </c>
      <c r="G17" s="1" t="e">
        <f>G$9/($K$9-$J$9-$I$9-$H$9)*-$H$17</f>
        <v>#REF!</v>
      </c>
      <c r="H17" s="1" t="e">
        <f>-H15</f>
        <v>#REF!</v>
      </c>
      <c r="K17" s="1">
        <v>0</v>
      </c>
    </row>
    <row r="18" spans="1:11" x14ac:dyDescent="0.2">
      <c r="A18" t="s">
        <v>4</v>
      </c>
      <c r="B18" s="1" t="e">
        <f>+B15+B17</f>
        <v>#REF!</v>
      </c>
      <c r="C18" s="1" t="e">
        <f>+C15+C17</f>
        <v>#REF!</v>
      </c>
      <c r="D18" s="1" t="e">
        <f>+D15+D17</f>
        <v>#REF!</v>
      </c>
      <c r="E18" s="1" t="e">
        <f>+E15+E17</f>
        <v>#REF!</v>
      </c>
      <c r="G18" s="1" t="e">
        <f>+G15+G17</f>
        <v>#REF!</v>
      </c>
      <c r="H18" s="1" t="e">
        <f>+H15+H17</f>
        <v>#REF!</v>
      </c>
      <c r="I18" s="1" t="e">
        <f>+I15+I17</f>
        <v>#REF!</v>
      </c>
      <c r="J18" s="1" t="e">
        <f>+J15+J17</f>
        <v>#REF!</v>
      </c>
      <c r="K18" s="1" t="e">
        <f>SUM(B18:J18)</f>
        <v>#REF!</v>
      </c>
    </row>
    <row r="20" spans="1:11" x14ac:dyDescent="0.2">
      <c r="A20" t="s">
        <v>7</v>
      </c>
      <c r="B20" s="1" t="e">
        <f>B$9/($K$9-$J$9-$I$9-$H$9-$G$9)*-$G$20</f>
        <v>#REF!</v>
      </c>
      <c r="C20" s="1" t="e">
        <f>C$9/($K$9-$J$9-$I$9-$H$9-$G$9)*-$G$20</f>
        <v>#REF!</v>
      </c>
      <c r="D20" s="1" t="e">
        <f>D$9/($K$9-$J$9-$I$9-$H$9-$G$9)*-$G$20</f>
        <v>#REF!</v>
      </c>
      <c r="E20" s="1" t="e">
        <f>E$9/($K$9-$J$9-$I$9-$H$9-$G$9)*-$G$20</f>
        <v>#REF!</v>
      </c>
      <c r="G20" s="1" t="e">
        <f>-G18</f>
        <v>#REF!</v>
      </c>
      <c r="K20" s="1" t="e">
        <f>SUM(B20:J20)</f>
        <v>#REF!</v>
      </c>
    </row>
    <row r="22" spans="1:11" x14ac:dyDescent="0.2">
      <c r="A22" t="s">
        <v>8</v>
      </c>
      <c r="B22" s="1" t="e">
        <f>+B20+B18</f>
        <v>#REF!</v>
      </c>
      <c r="C22" s="1" t="e">
        <f t="shared" ref="C22:K22" si="3">+C20+C18</f>
        <v>#REF!</v>
      </c>
      <c r="D22" s="1" t="e">
        <f t="shared" si="3"/>
        <v>#REF!</v>
      </c>
      <c r="E22" s="1" t="e">
        <f t="shared" si="3"/>
        <v>#REF!</v>
      </c>
      <c r="G22" s="1" t="e">
        <f t="shared" si="3"/>
        <v>#REF!</v>
      </c>
      <c r="H22" s="1" t="e">
        <f t="shared" si="3"/>
        <v>#REF!</v>
      </c>
      <c r="I22" s="1" t="e">
        <f t="shared" si="3"/>
        <v>#REF!</v>
      </c>
      <c r="J22" s="1" t="e">
        <f t="shared" si="3"/>
        <v>#REF!</v>
      </c>
      <c r="K22" s="1" t="e">
        <f t="shared" si="3"/>
        <v>#REF!</v>
      </c>
    </row>
    <row r="27" spans="1:11" x14ac:dyDescent="0.2">
      <c r="A27" t="s">
        <v>9</v>
      </c>
      <c r="B27" s="1" t="e">
        <f>+B9</f>
        <v>#REF!</v>
      </c>
    </row>
    <row r="28" spans="1:11" x14ac:dyDescent="0.2">
      <c r="A28" t="s">
        <v>10</v>
      </c>
      <c r="B28" s="1" t="e">
        <f>+B22-B27</f>
        <v>#REF!</v>
      </c>
    </row>
    <row r="29" spans="1:11" x14ac:dyDescent="0.2">
      <c r="A29" s="22" t="s">
        <v>103</v>
      </c>
      <c r="B29" s="1">
        <v>663</v>
      </c>
    </row>
    <row r="30" spans="1:11" x14ac:dyDescent="0.2">
      <c r="A30" t="s">
        <v>11</v>
      </c>
      <c r="B30" s="1" t="e">
        <f>+B28/B29</f>
        <v>#REF!</v>
      </c>
    </row>
  </sheetData>
  <phoneticPr fontId="0" type="noConversion"/>
  <pageMargins left="0.46" right="0.55000000000000004" top="1" bottom="0.51" header="0.5" footer="0.5"/>
  <pageSetup orientation="landscape" horizontalDpi="4294967294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7">
    <pageSetUpPr fitToPage="1"/>
  </sheetPr>
  <dimension ref="A1:K30"/>
  <sheetViews>
    <sheetView zoomScale="75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10" width="10.28515625" style="1" customWidth="1"/>
    <col min="11" max="11" width="11.42578125" style="1" customWidth="1"/>
  </cols>
  <sheetData>
    <row r="1" spans="1:11" ht="15.75" x14ac:dyDescent="0.25">
      <c r="A1" s="4" t="str">
        <f>+System!$A$1</f>
        <v>MINNESOTA STATE - F.Y. 2024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92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 t="e">
        <f>'Master Expend Table'!#REF!</f>
        <v>#REF!</v>
      </c>
      <c r="C9" s="1" t="e">
        <f>'Master Expend Table'!#REF!</f>
        <v>#REF!</v>
      </c>
      <c r="D9" s="1" t="e">
        <f>'Master Expend Table'!#REF!</f>
        <v>#REF!</v>
      </c>
      <c r="E9" s="1" t="e">
        <f>'Master Expend Table'!#REF!</f>
        <v>#REF!</v>
      </c>
      <c r="G9" s="1" t="e">
        <f>'Master Expend Table'!#REF!</f>
        <v>#REF!</v>
      </c>
      <c r="H9" s="1" t="e">
        <f>'Master Expend Table'!#REF!</f>
        <v>#REF!</v>
      </c>
      <c r="I9" s="1" t="e">
        <f>'Master Expend Table'!#REF!</f>
        <v>#REF!</v>
      </c>
      <c r="J9" s="1" t="e">
        <f>'Master Expend Table'!#REF!</f>
        <v>#REF!</v>
      </c>
      <c r="K9" s="1" t="e">
        <f>SUM(B9:J9)</f>
        <v>#REF!</v>
      </c>
    </row>
    <row r="11" spans="1:11" x14ac:dyDescent="0.2">
      <c r="A11" t="s">
        <v>3</v>
      </c>
      <c r="B11" s="1" t="e">
        <f>(B9/($K9-$J9))*-$J$11</f>
        <v>#REF!</v>
      </c>
      <c r="C11" s="1" t="e">
        <f t="shared" ref="C11:I11" si="0">(C9/($K9-$J9))*-$J$11</f>
        <v>#REF!</v>
      </c>
      <c r="D11" s="1" t="e">
        <f t="shared" si="0"/>
        <v>#REF!</v>
      </c>
      <c r="E11" s="1" t="e">
        <f t="shared" si="0"/>
        <v>#REF!</v>
      </c>
      <c r="G11" s="1" t="e">
        <f t="shared" si="0"/>
        <v>#REF!</v>
      </c>
      <c r="H11" s="1" t="e">
        <f t="shared" si="0"/>
        <v>#REF!</v>
      </c>
      <c r="I11" s="1" t="e">
        <f t="shared" si="0"/>
        <v>#REF!</v>
      </c>
      <c r="J11" s="1" t="e">
        <f>-J9</f>
        <v>#REF!</v>
      </c>
      <c r="K11" s="1">
        <v>0</v>
      </c>
    </row>
    <row r="12" spans="1:11" x14ac:dyDescent="0.2">
      <c r="A12" t="s">
        <v>4</v>
      </c>
      <c r="B12" s="1" t="e">
        <f>+B9+B11</f>
        <v>#REF!</v>
      </c>
      <c r="C12" s="1" t="e">
        <f t="shared" ref="C12:J12" si="1">+C9+C11</f>
        <v>#REF!</v>
      </c>
      <c r="D12" s="1" t="e">
        <f t="shared" si="1"/>
        <v>#REF!</v>
      </c>
      <c r="E12" s="1" t="e">
        <f t="shared" si="1"/>
        <v>#REF!</v>
      </c>
      <c r="G12" s="1" t="e">
        <f t="shared" si="1"/>
        <v>#REF!</v>
      </c>
      <c r="H12" s="1" t="e">
        <f t="shared" si="1"/>
        <v>#REF!</v>
      </c>
      <c r="I12" s="1" t="e">
        <f t="shared" si="1"/>
        <v>#REF!</v>
      </c>
      <c r="J12" s="1" t="e">
        <f t="shared" si="1"/>
        <v>#REF!</v>
      </c>
      <c r="K12" s="1" t="e">
        <f>SUM(B12:J12)</f>
        <v>#REF!</v>
      </c>
    </row>
    <row r="14" spans="1:11" x14ac:dyDescent="0.2">
      <c r="A14" t="s">
        <v>5</v>
      </c>
      <c r="B14" s="1" t="e">
        <f>B$9/($K$9-$J$9-$I$9)*-I14</f>
        <v>#REF!</v>
      </c>
      <c r="C14" s="1" t="e">
        <f t="shared" ref="C14:H14" si="2">C$9/($K$9-$J$9-$I$9)*-$I$14</f>
        <v>#REF!</v>
      </c>
      <c r="D14" s="1" t="e">
        <f t="shared" si="2"/>
        <v>#REF!</v>
      </c>
      <c r="E14" s="1" t="e">
        <f t="shared" si="2"/>
        <v>#REF!</v>
      </c>
      <c r="G14" s="1" t="e">
        <f t="shared" si="2"/>
        <v>#REF!</v>
      </c>
      <c r="H14" s="1" t="e">
        <f t="shared" si="2"/>
        <v>#REF!</v>
      </c>
      <c r="I14" s="1" t="e">
        <f>-I12</f>
        <v>#REF!</v>
      </c>
      <c r="K14" s="1">
        <v>0</v>
      </c>
    </row>
    <row r="15" spans="1:11" x14ac:dyDescent="0.2">
      <c r="A15" t="s">
        <v>4</v>
      </c>
      <c r="B15" s="1" t="e">
        <f>+B12+B14</f>
        <v>#REF!</v>
      </c>
      <c r="C15" s="1" t="e">
        <f>+C12+C14</f>
        <v>#REF!</v>
      </c>
      <c r="D15" s="1" t="e">
        <f>+D12+D14</f>
        <v>#REF!</v>
      </c>
      <c r="E15" s="1" t="e">
        <f>+E12+E14</f>
        <v>#REF!</v>
      </c>
      <c r="G15" s="1" t="e">
        <f>+G12+G14</f>
        <v>#REF!</v>
      </c>
      <c r="H15" s="1" t="e">
        <f>+H12+H14</f>
        <v>#REF!</v>
      </c>
      <c r="I15" s="1" t="e">
        <f>+I12+I14</f>
        <v>#REF!</v>
      </c>
      <c r="J15" s="1" t="e">
        <f>+J12+J14</f>
        <v>#REF!</v>
      </c>
      <c r="K15" s="1" t="e">
        <f>SUM(B15:J15)</f>
        <v>#REF!</v>
      </c>
    </row>
    <row r="17" spans="1:11" x14ac:dyDescent="0.2">
      <c r="A17" t="s">
        <v>6</v>
      </c>
      <c r="B17" s="1" t="e">
        <f>B$9/($K$9-$J$9-$I$9-$H$9)*-$H$17</f>
        <v>#REF!</v>
      </c>
      <c r="C17" s="1" t="e">
        <f>C$9/($K$9-$J$9-$I$9-$H$9)*-$H$17</f>
        <v>#REF!</v>
      </c>
      <c r="D17" s="1" t="e">
        <f>D$9/($K$9-$J$9-$I$9-$H$9)*-$H$17</f>
        <v>#REF!</v>
      </c>
      <c r="E17" s="1" t="e">
        <f>E$9/($K$9-$J$9-$I$9-$H$9)*-$H$17</f>
        <v>#REF!</v>
      </c>
      <c r="G17" s="1" t="e">
        <f>G$9/($K$9-$J$9-$I$9-$H$9)*-$H$17</f>
        <v>#REF!</v>
      </c>
      <c r="H17" s="1" t="e">
        <f>-H15</f>
        <v>#REF!</v>
      </c>
      <c r="K17" s="1">
        <v>0</v>
      </c>
    </row>
    <row r="18" spans="1:11" x14ac:dyDescent="0.2">
      <c r="A18" t="s">
        <v>4</v>
      </c>
      <c r="B18" s="1" t="e">
        <f>+B15+B17</f>
        <v>#REF!</v>
      </c>
      <c r="C18" s="1" t="e">
        <f>+C15+C17</f>
        <v>#REF!</v>
      </c>
      <c r="D18" s="1" t="e">
        <f>+D15+D17</f>
        <v>#REF!</v>
      </c>
      <c r="E18" s="1" t="e">
        <f>+E15+E17</f>
        <v>#REF!</v>
      </c>
      <c r="G18" s="1" t="e">
        <f>+G15+G17</f>
        <v>#REF!</v>
      </c>
      <c r="H18" s="1" t="e">
        <f>+H15+H17</f>
        <v>#REF!</v>
      </c>
      <c r="I18" s="1" t="e">
        <f>+I15+I17</f>
        <v>#REF!</v>
      </c>
      <c r="J18" s="1" t="e">
        <f>+J15+J17</f>
        <v>#REF!</v>
      </c>
      <c r="K18" s="1" t="e">
        <f>SUM(B18:J18)</f>
        <v>#REF!</v>
      </c>
    </row>
    <row r="20" spans="1:11" x14ac:dyDescent="0.2">
      <c r="A20" t="s">
        <v>7</v>
      </c>
      <c r="B20" s="1" t="e">
        <f>B$9/($K$9-$J$9-$I$9-$H$9-$G$9)*-$G$20</f>
        <v>#REF!</v>
      </c>
      <c r="C20" s="1" t="e">
        <f>C$9/($K$9-$J$9-$I$9-$H$9-$G$9)*-$G$20</f>
        <v>#REF!</v>
      </c>
      <c r="D20" s="1" t="e">
        <f>D$9/($K$9-$J$9-$I$9-$H$9-$G$9)*-$G$20</f>
        <v>#REF!</v>
      </c>
      <c r="E20" s="1" t="e">
        <f>E$9/($K$9-$J$9-$I$9-$H$9-$G$9)*-$G$20</f>
        <v>#REF!</v>
      </c>
      <c r="G20" s="1" t="e">
        <f>-G18</f>
        <v>#REF!</v>
      </c>
      <c r="K20" s="1" t="e">
        <f>SUM(B20:J20)</f>
        <v>#REF!</v>
      </c>
    </row>
    <row r="22" spans="1:11" x14ac:dyDescent="0.2">
      <c r="A22" t="s">
        <v>8</v>
      </c>
      <c r="B22" s="1" t="e">
        <f>+B20+B18</f>
        <v>#REF!</v>
      </c>
      <c r="C22" s="1" t="e">
        <f t="shared" ref="C22:K22" si="3">+C20+C18</f>
        <v>#REF!</v>
      </c>
      <c r="D22" s="1" t="e">
        <f t="shared" si="3"/>
        <v>#REF!</v>
      </c>
      <c r="E22" s="1" t="e">
        <f t="shared" si="3"/>
        <v>#REF!</v>
      </c>
      <c r="G22" s="1" t="e">
        <f t="shared" si="3"/>
        <v>#REF!</v>
      </c>
      <c r="H22" s="1" t="e">
        <f t="shared" si="3"/>
        <v>#REF!</v>
      </c>
      <c r="I22" s="1" t="e">
        <f t="shared" si="3"/>
        <v>#REF!</v>
      </c>
      <c r="J22" s="1" t="e">
        <f t="shared" si="3"/>
        <v>#REF!</v>
      </c>
      <c r="K22" s="1" t="e">
        <f t="shared" si="3"/>
        <v>#REF!</v>
      </c>
    </row>
    <row r="27" spans="1:11" x14ac:dyDescent="0.2">
      <c r="A27" t="s">
        <v>9</v>
      </c>
      <c r="B27" s="1" t="e">
        <f>+B9</f>
        <v>#REF!</v>
      </c>
    </row>
    <row r="28" spans="1:11" x14ac:dyDescent="0.2">
      <c r="A28" t="s">
        <v>10</v>
      </c>
      <c r="B28" s="1" t="e">
        <f>+B22-B27</f>
        <v>#REF!</v>
      </c>
    </row>
    <row r="29" spans="1:11" x14ac:dyDescent="0.2">
      <c r="A29" s="22" t="s">
        <v>103</v>
      </c>
      <c r="B29" s="1">
        <v>702</v>
      </c>
    </row>
    <row r="30" spans="1:11" x14ac:dyDescent="0.2">
      <c r="A30" t="s">
        <v>11</v>
      </c>
      <c r="B30" s="1" t="e">
        <f>+B28/B29</f>
        <v>#REF!</v>
      </c>
    </row>
  </sheetData>
  <phoneticPr fontId="0" type="noConversion"/>
  <pageMargins left="0.59" right="0.55000000000000004" top="1" bottom="0.53" header="0.5" footer="0.5"/>
  <pageSetup orientation="landscape" horizontalDpi="4294967294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K30"/>
  <sheetViews>
    <sheetView zoomScale="118" zoomScaleNormal="118" workbookViewId="0">
      <selection activeCell="A29" sqref="A29:B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5703125" style="1" bestFit="1" customWidth="1"/>
    <col min="5" max="5" width="9.28515625" style="1" bestFit="1" customWidth="1"/>
    <col min="6" max="6" width="2.7109375" style="1" customWidth="1"/>
    <col min="7" max="9" width="11.5703125" style="1" bestFit="1" customWidth="1"/>
    <col min="10" max="10" width="13.7109375" style="1" bestFit="1" customWidth="1"/>
    <col min="11" max="11" width="12.140625" style="1" bestFit="1" customWidth="1"/>
  </cols>
  <sheetData>
    <row r="1" spans="1:11" ht="15.75" x14ac:dyDescent="0.25">
      <c r="A1" s="4" t="str">
        <f>System!A1</f>
        <v>MINNESOTA STATE - F.Y. 2024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87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Table'!B6</f>
        <v>13788576.390000001</v>
      </c>
      <c r="C9" s="1">
        <f>'Master Expend Table'!C6</f>
        <v>0</v>
      </c>
      <c r="D9" s="1">
        <f>'Master Expend Table'!D6</f>
        <v>883118.1</v>
      </c>
      <c r="E9" s="1">
        <f>'Master Expend Table'!E6</f>
        <v>2381823.69</v>
      </c>
      <c r="G9" s="1">
        <f>'Master Expend Table'!G6</f>
        <v>2438322.33</v>
      </c>
      <c r="H9" s="1">
        <f>'Master Expend Table'!H6</f>
        <v>3197772.15</v>
      </c>
      <c r="I9" s="1">
        <f>'Master Expend Table'!I6</f>
        <v>4042469.56</v>
      </c>
      <c r="J9" s="1">
        <f>'Master Expend Table'!J6</f>
        <v>2774879.31</v>
      </c>
      <c r="K9" s="1">
        <f>SUM(B9:J9)</f>
        <v>29506961.529999994</v>
      </c>
    </row>
    <row r="11" spans="1:11" x14ac:dyDescent="0.2">
      <c r="A11" t="s">
        <v>3</v>
      </c>
      <c r="B11" s="1">
        <f>(B9/($K9-$J9))*-$J$11</f>
        <v>1431300.2265996134</v>
      </c>
      <c r="C11" s="1">
        <f t="shared" ref="C11:I11" si="0">(C9/($K9-$J9))*-$J$11</f>
        <v>0</v>
      </c>
      <c r="D11" s="1">
        <f t="shared" si="0"/>
        <v>91670.604774030639</v>
      </c>
      <c r="E11" s="1">
        <f t="shared" si="0"/>
        <v>247241.24454862069</v>
      </c>
      <c r="G11" s="1">
        <f t="shared" si="0"/>
        <v>253105.99185445698</v>
      </c>
      <c r="H11" s="1">
        <f t="shared" si="0"/>
        <v>331939.4166194218</v>
      </c>
      <c r="I11" s="1">
        <f t="shared" si="0"/>
        <v>419621.82560385694</v>
      </c>
      <c r="J11" s="1">
        <f>-J9</f>
        <v>-2774879.31</v>
      </c>
      <c r="K11" s="1">
        <v>0</v>
      </c>
    </row>
    <row r="12" spans="1:11" x14ac:dyDescent="0.2">
      <c r="A12" t="s">
        <v>4</v>
      </c>
      <c r="B12" s="1">
        <f>+B9+B11</f>
        <v>15219876.616599614</v>
      </c>
      <c r="C12" s="1">
        <f t="shared" ref="C12:J12" si="1">+C9+C11</f>
        <v>0</v>
      </c>
      <c r="D12" s="1">
        <f t="shared" si="1"/>
        <v>974788.7047740306</v>
      </c>
      <c r="E12" s="1">
        <f t="shared" si="1"/>
        <v>2629064.9345486206</v>
      </c>
      <c r="G12" s="1">
        <f t="shared" si="1"/>
        <v>2691428.3218544573</v>
      </c>
      <c r="H12" s="1">
        <f t="shared" si="1"/>
        <v>3529711.5666194218</v>
      </c>
      <c r="I12" s="1">
        <f t="shared" si="1"/>
        <v>4462091.3856038572</v>
      </c>
      <c r="J12" s="1">
        <f t="shared" si="1"/>
        <v>0</v>
      </c>
      <c r="K12" s="1">
        <f>SUM(B12:J12)</f>
        <v>29506961.530000001</v>
      </c>
    </row>
    <row r="14" spans="1:11" x14ac:dyDescent="0.2">
      <c r="A14" t="s">
        <v>5</v>
      </c>
      <c r="B14" s="1">
        <f>B$9/($K$9-$J$9-$I$9)*-I14</f>
        <v>2711632.360213228</v>
      </c>
      <c r="C14" s="1">
        <f t="shared" ref="C14:H14" si="2">C$9/($K$9-$J$9-$I$9)*-$I$14</f>
        <v>0</v>
      </c>
      <c r="D14" s="1">
        <f t="shared" si="2"/>
        <v>173672.14352793831</v>
      </c>
      <c r="E14" s="1">
        <f t="shared" si="2"/>
        <v>468404.42489846336</v>
      </c>
      <c r="G14" s="1">
        <f t="shared" si="2"/>
        <v>479515.32831581304</v>
      </c>
      <c r="H14" s="1">
        <f t="shared" si="2"/>
        <v>628867.12864841509</v>
      </c>
      <c r="I14" s="1">
        <f>-I12</f>
        <v>-4462091.3856038572</v>
      </c>
      <c r="K14" s="1">
        <v>0</v>
      </c>
    </row>
    <row r="15" spans="1:11" x14ac:dyDescent="0.2">
      <c r="A15" t="s">
        <v>4</v>
      </c>
      <c r="B15" s="1">
        <f>+B12+B14</f>
        <v>17931508.976812843</v>
      </c>
      <c r="C15" s="1">
        <f>+C12+C14</f>
        <v>0</v>
      </c>
      <c r="D15" s="1">
        <f>+D12+D14</f>
        <v>1148460.848301969</v>
      </c>
      <c r="E15" s="1">
        <f>+E12+E14</f>
        <v>3097469.3594470839</v>
      </c>
      <c r="G15" s="1">
        <f>+G12+G14</f>
        <v>3170943.6501702704</v>
      </c>
      <c r="H15" s="1">
        <f>+H12+H14</f>
        <v>4158578.695267837</v>
      </c>
      <c r="I15" s="1">
        <f>+I12+I14</f>
        <v>0</v>
      </c>
      <c r="J15" s="1">
        <f>+J12+J14</f>
        <v>0</v>
      </c>
      <c r="K15" s="1">
        <f>SUM(B15:J15)</f>
        <v>29506961.530000005</v>
      </c>
    </row>
    <row r="17" spans="1:11" x14ac:dyDescent="0.2">
      <c r="A17" t="s">
        <v>6</v>
      </c>
      <c r="B17" s="1">
        <f>B$9/($K$9-$J$9-$I$9-$H$9)*-$H$17</f>
        <v>2941788.8979806304</v>
      </c>
      <c r="C17" s="1">
        <f>C$9/($K$9-$J$9-$I$9-$H$9)*-$H$17</f>
        <v>0</v>
      </c>
      <c r="D17" s="1">
        <f>D$9/($K$9-$J$9-$I$9-$H$9)*-$H$17</f>
        <v>188412.99846370495</v>
      </c>
      <c r="E17" s="1">
        <f>E$9/($K$9-$J$9-$I$9-$H$9)*-$H$17</f>
        <v>508161.41492829332</v>
      </c>
      <c r="G17" s="1">
        <f>G$9/($K$9-$J$9-$I$9-$H$9)*-$H$17</f>
        <v>520215.38389520888</v>
      </c>
      <c r="H17" s="1">
        <f>-H15</f>
        <v>-4158578.695267837</v>
      </c>
      <c r="K17" s="1">
        <v>0</v>
      </c>
    </row>
    <row r="18" spans="1:11" x14ac:dyDescent="0.2">
      <c r="A18" t="s">
        <v>4</v>
      </c>
      <c r="B18" s="1">
        <f>+B15+B17</f>
        <v>20873297.874793474</v>
      </c>
      <c r="C18" s="1">
        <f>+C15+C17</f>
        <v>0</v>
      </c>
      <c r="D18" s="1">
        <f>+D15+D17</f>
        <v>1336873.846765674</v>
      </c>
      <c r="E18" s="1">
        <f>+E15+E17</f>
        <v>3605630.7743753772</v>
      </c>
      <c r="G18" s="1">
        <f>+G15+G17</f>
        <v>3691159.0340654794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29506961.530000001</v>
      </c>
    </row>
    <row r="20" spans="1:11" x14ac:dyDescent="0.2">
      <c r="A20" t="s">
        <v>7</v>
      </c>
      <c r="B20" s="1">
        <f>B$9/($K$9-$J$9-$I$9-$H$9-$G$9)*-$G$20</f>
        <v>2984476.7379753939</v>
      </c>
      <c r="C20" s="1">
        <f>C$9/($K$9-$J$9-$I$9-$H$9-$G$9)*-$G$20</f>
        <v>0</v>
      </c>
      <c r="D20" s="1">
        <f>D$9/($K$9-$J$9-$I$9-$H$9-$G$9)*-$G$20</f>
        <v>191147.03010576917</v>
      </c>
      <c r="E20" s="1">
        <f>E$9/($K$9-$J$9-$I$9-$H$9-$G$9)*-$G$20</f>
        <v>515535.26598431641</v>
      </c>
      <c r="G20" s="1">
        <f>-G18</f>
        <v>-3691159.0340654794</v>
      </c>
      <c r="K20" s="1">
        <f>SUM(B20:J20)</f>
        <v>0</v>
      </c>
    </row>
    <row r="22" spans="1:11" x14ac:dyDescent="0.2">
      <c r="A22" t="s">
        <v>8</v>
      </c>
      <c r="B22" s="1">
        <f>+B20+B18</f>
        <v>23857774.612768866</v>
      </c>
      <c r="C22" s="1">
        <f t="shared" ref="C22:K22" si="3">+C20+C18</f>
        <v>0</v>
      </c>
      <c r="D22" s="1">
        <f t="shared" si="3"/>
        <v>1528020.8768714431</v>
      </c>
      <c r="E22" s="1">
        <f t="shared" si="3"/>
        <v>4121166.0403596936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29506961.530000001</v>
      </c>
    </row>
    <row r="27" spans="1:11" x14ac:dyDescent="0.2">
      <c r="A27" t="s">
        <v>9</v>
      </c>
      <c r="B27" s="1">
        <f>+B9</f>
        <v>13788576.390000001</v>
      </c>
    </row>
    <row r="28" spans="1:11" x14ac:dyDescent="0.2">
      <c r="A28" t="s">
        <v>10</v>
      </c>
      <c r="B28" s="1">
        <f>+B22-B27</f>
        <v>10069198.222768866</v>
      </c>
    </row>
    <row r="29" spans="1:11" x14ac:dyDescent="0.2">
      <c r="A29" s="22" t="s">
        <v>106</v>
      </c>
      <c r="B29" s="1">
        <v>1927</v>
      </c>
    </row>
    <row r="30" spans="1:11" x14ac:dyDescent="0.2">
      <c r="A30" t="s">
        <v>11</v>
      </c>
      <c r="B30" s="1">
        <f>+B28/B29</f>
        <v>5225.3234160710253</v>
      </c>
    </row>
  </sheetData>
  <phoneticPr fontId="0" type="noConversion"/>
  <pageMargins left="0.43" right="0.17" top="0.73" bottom="0.33" header="0.27" footer="0.25"/>
  <pageSetup orientation="landscape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8">
    <pageSetUpPr fitToPage="1"/>
  </sheetPr>
  <dimension ref="A1:K30"/>
  <sheetViews>
    <sheetView zoomScale="75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10" width="10.28515625" style="1" customWidth="1"/>
    <col min="11" max="11" width="11.7109375" style="1" customWidth="1"/>
  </cols>
  <sheetData>
    <row r="1" spans="1:11" ht="15.75" x14ac:dyDescent="0.25">
      <c r="A1" s="4" t="str">
        <f>+System!$A$1</f>
        <v>MINNESOTA STATE - F.Y. 2024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57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 t="e">
        <f>'Master Expend Table'!#REF!</f>
        <v>#REF!</v>
      </c>
      <c r="C9" s="1" t="e">
        <f>'Master Expend Table'!#REF!</f>
        <v>#REF!</v>
      </c>
      <c r="D9" s="1" t="e">
        <f>'Master Expend Table'!#REF!</f>
        <v>#REF!</v>
      </c>
      <c r="E9" s="1" t="e">
        <f>'Master Expend Table'!#REF!</f>
        <v>#REF!</v>
      </c>
      <c r="G9" s="1" t="e">
        <f>'Master Expend Table'!#REF!</f>
        <v>#REF!</v>
      </c>
      <c r="H9" s="1" t="e">
        <f>'Master Expend Table'!#REF!</f>
        <v>#REF!</v>
      </c>
      <c r="I9" s="1" t="e">
        <f>'Master Expend Table'!#REF!</f>
        <v>#REF!</v>
      </c>
      <c r="J9" s="1" t="e">
        <f>'Master Expend Table'!#REF!</f>
        <v>#REF!</v>
      </c>
      <c r="K9" s="1" t="e">
        <f>SUM(B9:J9)</f>
        <v>#REF!</v>
      </c>
    </row>
    <row r="11" spans="1:11" x14ac:dyDescent="0.2">
      <c r="A11" t="s">
        <v>3</v>
      </c>
      <c r="B11" s="1" t="e">
        <f>(B9/($K9-$J9))*-$J$11</f>
        <v>#REF!</v>
      </c>
      <c r="C11" s="1" t="e">
        <f t="shared" ref="C11:I11" si="0">(C9/($K9-$J9))*-$J$11</f>
        <v>#REF!</v>
      </c>
      <c r="D11" s="1" t="e">
        <f t="shared" si="0"/>
        <v>#REF!</v>
      </c>
      <c r="E11" s="1" t="e">
        <f t="shared" si="0"/>
        <v>#REF!</v>
      </c>
      <c r="G11" s="1" t="e">
        <f t="shared" si="0"/>
        <v>#REF!</v>
      </c>
      <c r="H11" s="1" t="e">
        <f t="shared" si="0"/>
        <v>#REF!</v>
      </c>
      <c r="I11" s="1" t="e">
        <f t="shared" si="0"/>
        <v>#REF!</v>
      </c>
      <c r="J11" s="1" t="e">
        <f>-J9</f>
        <v>#REF!</v>
      </c>
      <c r="K11" s="1">
        <v>0</v>
      </c>
    </row>
    <row r="12" spans="1:11" x14ac:dyDescent="0.2">
      <c r="A12" t="s">
        <v>4</v>
      </c>
      <c r="B12" s="1" t="e">
        <f>+B9+B11</f>
        <v>#REF!</v>
      </c>
      <c r="C12" s="1" t="e">
        <f t="shared" ref="C12:J12" si="1">+C9+C11</f>
        <v>#REF!</v>
      </c>
      <c r="D12" s="1" t="e">
        <f t="shared" si="1"/>
        <v>#REF!</v>
      </c>
      <c r="E12" s="1" t="e">
        <f t="shared" si="1"/>
        <v>#REF!</v>
      </c>
      <c r="G12" s="1" t="e">
        <f t="shared" si="1"/>
        <v>#REF!</v>
      </c>
      <c r="H12" s="1" t="e">
        <f t="shared" si="1"/>
        <v>#REF!</v>
      </c>
      <c r="I12" s="1" t="e">
        <f t="shared" si="1"/>
        <v>#REF!</v>
      </c>
      <c r="J12" s="1" t="e">
        <f t="shared" si="1"/>
        <v>#REF!</v>
      </c>
      <c r="K12" s="1" t="e">
        <f>SUM(B12:J12)</f>
        <v>#REF!</v>
      </c>
    </row>
    <row r="14" spans="1:11" x14ac:dyDescent="0.2">
      <c r="A14" t="s">
        <v>5</v>
      </c>
      <c r="B14" s="1" t="e">
        <f>B$9/($K$9-$J$9-$I$9)*-I14</f>
        <v>#REF!</v>
      </c>
      <c r="C14" s="1" t="e">
        <f t="shared" ref="C14:H14" si="2">C$9/($K$9-$J$9-$I$9)*-$I$14</f>
        <v>#REF!</v>
      </c>
      <c r="D14" s="1" t="e">
        <f t="shared" si="2"/>
        <v>#REF!</v>
      </c>
      <c r="E14" s="1" t="e">
        <f t="shared" si="2"/>
        <v>#REF!</v>
      </c>
      <c r="G14" s="1" t="e">
        <f t="shared" si="2"/>
        <v>#REF!</v>
      </c>
      <c r="H14" s="1" t="e">
        <f t="shared" si="2"/>
        <v>#REF!</v>
      </c>
      <c r="I14" s="1" t="e">
        <f>-I12</f>
        <v>#REF!</v>
      </c>
      <c r="K14" s="1">
        <v>0</v>
      </c>
    </row>
    <row r="15" spans="1:11" x14ac:dyDescent="0.2">
      <c r="A15" t="s">
        <v>4</v>
      </c>
      <c r="B15" s="1" t="e">
        <f>+B12+B14</f>
        <v>#REF!</v>
      </c>
      <c r="C15" s="1" t="e">
        <f>+C12+C14</f>
        <v>#REF!</v>
      </c>
      <c r="D15" s="1" t="e">
        <f>+D12+D14</f>
        <v>#REF!</v>
      </c>
      <c r="E15" s="1" t="e">
        <f>+E12+E14</f>
        <v>#REF!</v>
      </c>
      <c r="G15" s="1" t="e">
        <f>+G12+G14</f>
        <v>#REF!</v>
      </c>
      <c r="H15" s="1" t="e">
        <f>+H12+H14</f>
        <v>#REF!</v>
      </c>
      <c r="I15" s="1" t="e">
        <f>+I12+I14</f>
        <v>#REF!</v>
      </c>
      <c r="J15" s="1" t="e">
        <f>+J12+J14</f>
        <v>#REF!</v>
      </c>
      <c r="K15" s="1" t="e">
        <f>SUM(B15:J15)</f>
        <v>#REF!</v>
      </c>
    </row>
    <row r="17" spans="1:11" x14ac:dyDescent="0.2">
      <c r="A17" t="s">
        <v>6</v>
      </c>
      <c r="B17" s="1" t="e">
        <f>B$9/($K$9-$J$9-$I$9-$H$9)*-$H$17</f>
        <v>#REF!</v>
      </c>
      <c r="C17" s="1" t="e">
        <f>C$9/($K$9-$J$9-$I$9-$H$9)*-$H$17</f>
        <v>#REF!</v>
      </c>
      <c r="D17" s="1" t="e">
        <f>D$9/($K$9-$J$9-$I$9-$H$9)*-$H$17</f>
        <v>#REF!</v>
      </c>
      <c r="E17" s="1" t="e">
        <f>E$9/($K$9-$J$9-$I$9-$H$9)*-$H$17</f>
        <v>#REF!</v>
      </c>
      <c r="G17" s="1" t="e">
        <f>G$9/($K$9-$J$9-$I$9-$H$9)*-$H$17</f>
        <v>#REF!</v>
      </c>
      <c r="H17" s="1" t="e">
        <f>-H15</f>
        <v>#REF!</v>
      </c>
      <c r="K17" s="1">
        <v>0</v>
      </c>
    </row>
    <row r="18" spans="1:11" x14ac:dyDescent="0.2">
      <c r="A18" t="s">
        <v>4</v>
      </c>
      <c r="B18" s="1" t="e">
        <f>+B15+B17</f>
        <v>#REF!</v>
      </c>
      <c r="C18" s="1" t="e">
        <f>+C15+C17</f>
        <v>#REF!</v>
      </c>
      <c r="D18" s="1" t="e">
        <f>+D15+D17</f>
        <v>#REF!</v>
      </c>
      <c r="E18" s="1" t="e">
        <f>+E15+E17</f>
        <v>#REF!</v>
      </c>
      <c r="G18" s="1" t="e">
        <f>+G15+G17</f>
        <v>#REF!</v>
      </c>
      <c r="H18" s="1" t="e">
        <f>+H15+H17</f>
        <v>#REF!</v>
      </c>
      <c r="I18" s="1" t="e">
        <f>+I15+I17</f>
        <v>#REF!</v>
      </c>
      <c r="J18" s="1" t="e">
        <f>+J15+J17</f>
        <v>#REF!</v>
      </c>
      <c r="K18" s="1" t="e">
        <f>SUM(B18:J18)</f>
        <v>#REF!</v>
      </c>
    </row>
    <row r="20" spans="1:11" x14ac:dyDescent="0.2">
      <c r="A20" t="s">
        <v>7</v>
      </c>
      <c r="B20" s="1" t="e">
        <f>B$9/($K$9-$J$9-$I$9-$H$9-$G$9)*-$G$20</f>
        <v>#REF!</v>
      </c>
      <c r="C20" s="1" t="e">
        <f>C$9/($K$9-$J$9-$I$9-$H$9-$G$9)*-$G$20</f>
        <v>#REF!</v>
      </c>
      <c r="D20" s="1" t="e">
        <f>D$9/($K$9-$J$9-$I$9-$H$9-$G$9)*-$G$20</f>
        <v>#REF!</v>
      </c>
      <c r="E20" s="1" t="e">
        <f>E$9/($K$9-$J$9-$I$9-$H$9-$G$9)*-$G$20</f>
        <v>#REF!</v>
      </c>
      <c r="G20" s="1" t="e">
        <f>-G18</f>
        <v>#REF!</v>
      </c>
      <c r="K20" s="1" t="e">
        <f>SUM(B20:J20)</f>
        <v>#REF!</v>
      </c>
    </row>
    <row r="22" spans="1:11" x14ac:dyDescent="0.2">
      <c r="A22" t="s">
        <v>8</v>
      </c>
      <c r="B22" s="1" t="e">
        <f>+B20+B18</f>
        <v>#REF!</v>
      </c>
      <c r="C22" s="1" t="e">
        <f t="shared" ref="C22:K22" si="3">+C20+C18</f>
        <v>#REF!</v>
      </c>
      <c r="D22" s="1" t="e">
        <f t="shared" si="3"/>
        <v>#REF!</v>
      </c>
      <c r="E22" s="1" t="e">
        <f t="shared" si="3"/>
        <v>#REF!</v>
      </c>
      <c r="G22" s="1" t="e">
        <f t="shared" si="3"/>
        <v>#REF!</v>
      </c>
      <c r="H22" s="1" t="e">
        <f t="shared" si="3"/>
        <v>#REF!</v>
      </c>
      <c r="I22" s="1" t="e">
        <f t="shared" si="3"/>
        <v>#REF!</v>
      </c>
      <c r="J22" s="1" t="e">
        <f t="shared" si="3"/>
        <v>#REF!</v>
      </c>
      <c r="K22" s="1" t="e">
        <f t="shared" si="3"/>
        <v>#REF!</v>
      </c>
    </row>
    <row r="27" spans="1:11" x14ac:dyDescent="0.2">
      <c r="A27" t="s">
        <v>9</v>
      </c>
      <c r="B27" s="1" t="e">
        <f>+B9</f>
        <v>#REF!</v>
      </c>
    </row>
    <row r="28" spans="1:11" x14ac:dyDescent="0.2">
      <c r="A28" t="s">
        <v>10</v>
      </c>
      <c r="B28" s="1" t="e">
        <f>+B22-B27</f>
        <v>#REF!</v>
      </c>
    </row>
    <row r="29" spans="1:11" x14ac:dyDescent="0.2">
      <c r="A29" s="22" t="s">
        <v>103</v>
      </c>
      <c r="B29" s="1">
        <v>647</v>
      </c>
    </row>
    <row r="30" spans="1:11" x14ac:dyDescent="0.2">
      <c r="A30" t="s">
        <v>11</v>
      </c>
      <c r="B30" s="1" t="e">
        <f>+B28/B29</f>
        <v>#REF!</v>
      </c>
    </row>
  </sheetData>
  <phoneticPr fontId="0" type="noConversion"/>
  <pageMargins left="0.59" right="0.45" top="1" bottom="1" header="0.5" footer="0.5"/>
  <pageSetup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9">
    <pageSetUpPr fitToPage="1"/>
  </sheetPr>
  <dimension ref="A1:K30"/>
  <sheetViews>
    <sheetView zoomScale="75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6.85546875" style="1" customWidth="1"/>
  </cols>
  <sheetData>
    <row r="1" spans="1:11" ht="15.75" x14ac:dyDescent="0.25">
      <c r="A1" s="4" t="str">
        <f>+System!$A$1</f>
        <v>MINNESOTA STATE - F.Y. 2024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30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 t="e">
        <f>'Master Expend Table'!#REF!</f>
        <v>#REF!</v>
      </c>
      <c r="C9" s="1" t="e">
        <f>'Master Expend Table'!#REF!</f>
        <v>#REF!</v>
      </c>
      <c r="D9" s="1" t="e">
        <f>'Master Expend Table'!#REF!</f>
        <v>#REF!</v>
      </c>
      <c r="E9" s="1" t="e">
        <f>'Master Expend Table'!#REF!</f>
        <v>#REF!</v>
      </c>
      <c r="G9" s="1" t="e">
        <f>'Master Expend Table'!#REF!</f>
        <v>#REF!</v>
      </c>
      <c r="H9" s="1" t="e">
        <f>'Master Expend Table'!#REF!</f>
        <v>#REF!</v>
      </c>
      <c r="I9" s="1" t="e">
        <f>'Master Expend Table'!#REF!</f>
        <v>#REF!</v>
      </c>
      <c r="J9" s="1" t="e">
        <f>'Master Expend Table'!#REF!</f>
        <v>#REF!</v>
      </c>
      <c r="K9" s="1" t="e">
        <f>SUM(B9:J9)</f>
        <v>#REF!</v>
      </c>
    </row>
    <row r="11" spans="1:11" x14ac:dyDescent="0.2">
      <c r="A11" t="s">
        <v>3</v>
      </c>
      <c r="B11" s="1" t="e">
        <f>(B9/($K9-$J9))*-$J$11</f>
        <v>#REF!</v>
      </c>
      <c r="C11" s="1" t="e">
        <f t="shared" ref="C11:I11" si="0">(C9/($K9-$J9))*-$J$11</f>
        <v>#REF!</v>
      </c>
      <c r="D11" s="1" t="e">
        <f t="shared" si="0"/>
        <v>#REF!</v>
      </c>
      <c r="E11" s="1" t="e">
        <f t="shared" si="0"/>
        <v>#REF!</v>
      </c>
      <c r="G11" s="1" t="e">
        <f t="shared" si="0"/>
        <v>#REF!</v>
      </c>
      <c r="H11" s="1" t="e">
        <f t="shared" si="0"/>
        <v>#REF!</v>
      </c>
      <c r="I11" s="1" t="e">
        <f t="shared" si="0"/>
        <v>#REF!</v>
      </c>
      <c r="J11" s="1" t="e">
        <f>-J9</f>
        <v>#REF!</v>
      </c>
      <c r="K11" s="1">
        <v>0</v>
      </c>
    </row>
    <row r="12" spans="1:11" x14ac:dyDescent="0.2">
      <c r="A12" t="s">
        <v>4</v>
      </c>
      <c r="B12" s="1" t="e">
        <f>+B9+B11</f>
        <v>#REF!</v>
      </c>
      <c r="C12" s="1" t="e">
        <f t="shared" ref="C12:J12" si="1">+C9+C11</f>
        <v>#REF!</v>
      </c>
      <c r="D12" s="1" t="e">
        <f t="shared" si="1"/>
        <v>#REF!</v>
      </c>
      <c r="E12" s="1" t="e">
        <f t="shared" si="1"/>
        <v>#REF!</v>
      </c>
      <c r="G12" s="1" t="e">
        <f t="shared" si="1"/>
        <v>#REF!</v>
      </c>
      <c r="H12" s="1" t="e">
        <f t="shared" si="1"/>
        <v>#REF!</v>
      </c>
      <c r="I12" s="1" t="e">
        <f t="shared" si="1"/>
        <v>#REF!</v>
      </c>
      <c r="J12" s="1" t="e">
        <f t="shared" si="1"/>
        <v>#REF!</v>
      </c>
      <c r="K12" s="1" t="e">
        <f>SUM(B12:J12)</f>
        <v>#REF!</v>
      </c>
    </row>
    <row r="14" spans="1:11" x14ac:dyDescent="0.2">
      <c r="A14" t="s">
        <v>5</v>
      </c>
      <c r="B14" s="1" t="e">
        <f>B$9/($K$9-$J$9-$I$9)*-I14</f>
        <v>#REF!</v>
      </c>
      <c r="C14" s="1" t="e">
        <f t="shared" ref="C14:H14" si="2">C$9/($K$9-$J$9-$I$9)*-$I$14</f>
        <v>#REF!</v>
      </c>
      <c r="D14" s="1" t="e">
        <f t="shared" si="2"/>
        <v>#REF!</v>
      </c>
      <c r="E14" s="1" t="e">
        <f t="shared" si="2"/>
        <v>#REF!</v>
      </c>
      <c r="G14" s="1" t="e">
        <f t="shared" si="2"/>
        <v>#REF!</v>
      </c>
      <c r="H14" s="1" t="e">
        <f t="shared" si="2"/>
        <v>#REF!</v>
      </c>
      <c r="I14" s="1" t="e">
        <f>-I12</f>
        <v>#REF!</v>
      </c>
      <c r="K14" s="1">
        <v>0</v>
      </c>
    </row>
    <row r="15" spans="1:11" x14ac:dyDescent="0.2">
      <c r="A15" t="s">
        <v>4</v>
      </c>
      <c r="B15" s="1" t="e">
        <f>+B12+B14</f>
        <v>#REF!</v>
      </c>
      <c r="C15" s="1" t="e">
        <f>+C12+C14</f>
        <v>#REF!</v>
      </c>
      <c r="D15" s="1" t="e">
        <f>+D12+D14</f>
        <v>#REF!</v>
      </c>
      <c r="E15" s="1" t="e">
        <f>+E12+E14</f>
        <v>#REF!</v>
      </c>
      <c r="G15" s="1" t="e">
        <f>+G12+G14</f>
        <v>#REF!</v>
      </c>
      <c r="H15" s="1" t="e">
        <f>+H12+H14</f>
        <v>#REF!</v>
      </c>
      <c r="I15" s="1" t="e">
        <f>+I12+I14</f>
        <v>#REF!</v>
      </c>
      <c r="J15" s="1" t="e">
        <f>+J12+J14</f>
        <v>#REF!</v>
      </c>
      <c r="K15" s="1" t="e">
        <f>SUM(B15:J15)</f>
        <v>#REF!</v>
      </c>
    </row>
    <row r="17" spans="1:11" x14ac:dyDescent="0.2">
      <c r="A17" t="s">
        <v>6</v>
      </c>
      <c r="B17" s="1" t="e">
        <f>B$9/($K$9-$J$9-$I$9-$H$9)*-$H$17</f>
        <v>#REF!</v>
      </c>
      <c r="C17" s="1" t="e">
        <f>C$9/($K$9-$J$9-$I$9-$H$9)*-$H$17</f>
        <v>#REF!</v>
      </c>
      <c r="D17" s="1" t="e">
        <f>D$9/($K$9-$J$9-$I$9-$H$9)*-$H$17</f>
        <v>#REF!</v>
      </c>
      <c r="E17" s="1" t="e">
        <f>E$9/($K$9-$J$9-$I$9-$H$9)*-$H$17</f>
        <v>#REF!</v>
      </c>
      <c r="G17" s="1" t="e">
        <f>G$9/($K$9-$J$9-$I$9-$H$9)*-$H$17</f>
        <v>#REF!</v>
      </c>
      <c r="H17" s="1" t="e">
        <f>-H15</f>
        <v>#REF!</v>
      </c>
      <c r="K17" s="1">
        <v>0</v>
      </c>
    </row>
    <row r="18" spans="1:11" x14ac:dyDescent="0.2">
      <c r="A18" t="s">
        <v>4</v>
      </c>
      <c r="B18" s="1" t="e">
        <f>+B15+B17</f>
        <v>#REF!</v>
      </c>
      <c r="C18" s="1" t="e">
        <f>+C15+C17</f>
        <v>#REF!</v>
      </c>
      <c r="D18" s="1" t="e">
        <f>+D15+D17</f>
        <v>#REF!</v>
      </c>
      <c r="E18" s="1" t="e">
        <f>+E15+E17</f>
        <v>#REF!</v>
      </c>
      <c r="G18" s="1" t="e">
        <f>+G15+G17</f>
        <v>#REF!</v>
      </c>
      <c r="H18" s="1" t="e">
        <f>+H15+H17</f>
        <v>#REF!</v>
      </c>
      <c r="I18" s="1" t="e">
        <f>+I15+I17</f>
        <v>#REF!</v>
      </c>
      <c r="J18" s="1" t="e">
        <f>+J15+J17</f>
        <v>#REF!</v>
      </c>
      <c r="K18" s="1" t="e">
        <f>SUM(B18:J18)</f>
        <v>#REF!</v>
      </c>
    </row>
    <row r="20" spans="1:11" x14ac:dyDescent="0.2">
      <c r="A20" t="s">
        <v>7</v>
      </c>
      <c r="B20" s="1" t="e">
        <f>B$9/($K$9-$J$9-$I$9-$H$9-$G$9)*-$G$20</f>
        <v>#REF!</v>
      </c>
      <c r="C20" s="1" t="e">
        <f>C$9/($K$9-$J$9-$I$9-$H$9-$G$9)*-$G$20</f>
        <v>#REF!</v>
      </c>
      <c r="D20" s="1" t="e">
        <f>D$9/($K$9-$J$9-$I$9-$H$9-$G$9)*-$G$20</f>
        <v>#REF!</v>
      </c>
      <c r="E20" s="1" t="e">
        <f>E$9/($K$9-$J$9-$I$9-$H$9-$G$9)*-$G$20</f>
        <v>#REF!</v>
      </c>
      <c r="G20" s="1" t="e">
        <f>-G18</f>
        <v>#REF!</v>
      </c>
      <c r="K20" s="1" t="e">
        <f>SUM(B20:J20)</f>
        <v>#REF!</v>
      </c>
    </row>
    <row r="22" spans="1:11" x14ac:dyDescent="0.2">
      <c r="A22" t="s">
        <v>8</v>
      </c>
      <c r="B22" s="1" t="e">
        <f>+B20+B18</f>
        <v>#REF!</v>
      </c>
      <c r="C22" s="1" t="e">
        <f t="shared" ref="C22:K22" si="3">+C20+C18</f>
        <v>#REF!</v>
      </c>
      <c r="D22" s="1" t="e">
        <f t="shared" si="3"/>
        <v>#REF!</v>
      </c>
      <c r="E22" s="1" t="e">
        <f t="shared" si="3"/>
        <v>#REF!</v>
      </c>
      <c r="G22" s="1" t="e">
        <f t="shared" si="3"/>
        <v>#REF!</v>
      </c>
      <c r="H22" s="1" t="e">
        <f t="shared" si="3"/>
        <v>#REF!</v>
      </c>
      <c r="I22" s="1" t="e">
        <f t="shared" si="3"/>
        <v>#REF!</v>
      </c>
      <c r="J22" s="1" t="e">
        <f t="shared" si="3"/>
        <v>#REF!</v>
      </c>
      <c r="K22" s="1" t="e">
        <f t="shared" si="3"/>
        <v>#REF!</v>
      </c>
    </row>
    <row r="27" spans="1:11" x14ac:dyDescent="0.2">
      <c r="A27" t="s">
        <v>9</v>
      </c>
      <c r="B27" s="1" t="e">
        <f>+B9</f>
        <v>#REF!</v>
      </c>
    </row>
    <row r="28" spans="1:11" x14ac:dyDescent="0.2">
      <c r="A28" t="s">
        <v>10</v>
      </c>
      <c r="B28" s="1" t="e">
        <f>+B22-B27</f>
        <v>#REF!</v>
      </c>
    </row>
    <row r="29" spans="1:11" x14ac:dyDescent="0.2">
      <c r="A29" s="22" t="s">
        <v>103</v>
      </c>
      <c r="B29" s="1">
        <v>153</v>
      </c>
    </row>
    <row r="30" spans="1:11" x14ac:dyDescent="0.2">
      <c r="A30" t="s">
        <v>11</v>
      </c>
      <c r="B30" s="1" t="e">
        <f>+B28/B29</f>
        <v>#REF!</v>
      </c>
    </row>
  </sheetData>
  <phoneticPr fontId="0" type="noConversion"/>
  <pageMargins left="0.4" right="0.55000000000000004" top="1" bottom="0.6" header="0.5" footer="0.5"/>
  <pageSetup scale="10" orientation="landscape" horizontalDpi="4294967294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0"/>
  <dimension ref="A1:K30"/>
  <sheetViews>
    <sheetView zoomScale="75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10" width="10.28515625" style="1" customWidth="1"/>
    <col min="11" max="11" width="11.7109375" style="1" customWidth="1"/>
  </cols>
  <sheetData>
    <row r="1" spans="1:11" ht="15.75" x14ac:dyDescent="0.25">
      <c r="A1" s="4" t="str">
        <f>+System!$A$1</f>
        <v>MINNESOTA STATE - F.Y. 2024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58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 t="e">
        <f>'Master Expend Table'!#REF!</f>
        <v>#REF!</v>
      </c>
      <c r="C9" s="1" t="e">
        <f>'Master Expend Table'!#REF!</f>
        <v>#REF!</v>
      </c>
      <c r="D9" s="1" t="e">
        <f>'Master Expend Table'!#REF!</f>
        <v>#REF!</v>
      </c>
      <c r="E9" s="1" t="e">
        <f>'Master Expend Table'!#REF!</f>
        <v>#REF!</v>
      </c>
      <c r="G9" s="1" t="e">
        <f>'Master Expend Table'!#REF!</f>
        <v>#REF!</v>
      </c>
      <c r="H9" s="1" t="e">
        <f>'Master Expend Table'!#REF!</f>
        <v>#REF!</v>
      </c>
      <c r="I9" s="1" t="e">
        <f>'Master Expend Table'!#REF!</f>
        <v>#REF!</v>
      </c>
      <c r="J9" s="1" t="e">
        <f>'Master Expend Table'!#REF!</f>
        <v>#REF!</v>
      </c>
      <c r="K9" s="1" t="e">
        <f>SUM(B9:J9)</f>
        <v>#REF!</v>
      </c>
    </row>
    <row r="11" spans="1:11" x14ac:dyDescent="0.2">
      <c r="A11" t="s">
        <v>3</v>
      </c>
      <c r="B11" s="1" t="e">
        <f>(B9/($K9-$J9))*-$J$11</f>
        <v>#REF!</v>
      </c>
      <c r="C11" s="1" t="e">
        <f t="shared" ref="C11:I11" si="0">(C9/($K9-$J9))*-$J$11</f>
        <v>#REF!</v>
      </c>
      <c r="D11" s="1" t="e">
        <f t="shared" si="0"/>
        <v>#REF!</v>
      </c>
      <c r="E11" s="1" t="e">
        <f t="shared" si="0"/>
        <v>#REF!</v>
      </c>
      <c r="G11" s="1" t="e">
        <f t="shared" si="0"/>
        <v>#REF!</v>
      </c>
      <c r="H11" s="1" t="e">
        <f t="shared" si="0"/>
        <v>#REF!</v>
      </c>
      <c r="I11" s="1" t="e">
        <f t="shared" si="0"/>
        <v>#REF!</v>
      </c>
      <c r="J11" s="1" t="e">
        <f>-J9</f>
        <v>#REF!</v>
      </c>
      <c r="K11" s="1">
        <v>0</v>
      </c>
    </row>
    <row r="12" spans="1:11" x14ac:dyDescent="0.2">
      <c r="A12" t="s">
        <v>4</v>
      </c>
      <c r="B12" s="1" t="e">
        <f>+B9+B11</f>
        <v>#REF!</v>
      </c>
      <c r="C12" s="1" t="e">
        <f t="shared" ref="C12:J12" si="1">+C9+C11</f>
        <v>#REF!</v>
      </c>
      <c r="D12" s="1" t="e">
        <f t="shared" si="1"/>
        <v>#REF!</v>
      </c>
      <c r="E12" s="1" t="e">
        <f t="shared" si="1"/>
        <v>#REF!</v>
      </c>
      <c r="G12" s="1" t="e">
        <f t="shared" si="1"/>
        <v>#REF!</v>
      </c>
      <c r="H12" s="1" t="e">
        <f t="shared" si="1"/>
        <v>#REF!</v>
      </c>
      <c r="I12" s="1" t="e">
        <f t="shared" si="1"/>
        <v>#REF!</v>
      </c>
      <c r="J12" s="1" t="e">
        <f t="shared" si="1"/>
        <v>#REF!</v>
      </c>
      <c r="K12" s="1" t="e">
        <f>SUM(B12:J12)</f>
        <v>#REF!</v>
      </c>
    </row>
    <row r="14" spans="1:11" x14ac:dyDescent="0.2">
      <c r="A14" t="s">
        <v>5</v>
      </c>
      <c r="B14" s="1" t="e">
        <f>B$9/($K$9-$J$9-$I$9)*-I14</f>
        <v>#REF!</v>
      </c>
      <c r="C14" s="1" t="e">
        <f t="shared" ref="C14:H14" si="2">C$9/($K$9-$J$9-$I$9)*-$I$14</f>
        <v>#REF!</v>
      </c>
      <c r="D14" s="1" t="e">
        <f t="shared" si="2"/>
        <v>#REF!</v>
      </c>
      <c r="E14" s="1" t="e">
        <f t="shared" si="2"/>
        <v>#REF!</v>
      </c>
      <c r="G14" s="1" t="e">
        <f t="shared" si="2"/>
        <v>#REF!</v>
      </c>
      <c r="H14" s="1" t="e">
        <f t="shared" si="2"/>
        <v>#REF!</v>
      </c>
      <c r="I14" s="1" t="e">
        <f>-I12</f>
        <v>#REF!</v>
      </c>
      <c r="K14" s="1">
        <v>0</v>
      </c>
    </row>
    <row r="15" spans="1:11" x14ac:dyDescent="0.2">
      <c r="A15" t="s">
        <v>4</v>
      </c>
      <c r="B15" s="1" t="e">
        <f>+B12+B14</f>
        <v>#REF!</v>
      </c>
      <c r="C15" s="1" t="e">
        <f>+C12+C14</f>
        <v>#REF!</v>
      </c>
      <c r="D15" s="1" t="e">
        <f>+D12+D14</f>
        <v>#REF!</v>
      </c>
      <c r="E15" s="1" t="e">
        <f>+E12+E14</f>
        <v>#REF!</v>
      </c>
      <c r="G15" s="1" t="e">
        <f>+G12+G14</f>
        <v>#REF!</v>
      </c>
      <c r="H15" s="1" t="e">
        <f>+H12+H14</f>
        <v>#REF!</v>
      </c>
      <c r="I15" s="1" t="e">
        <f>+I12+I14</f>
        <v>#REF!</v>
      </c>
      <c r="J15" s="1" t="e">
        <f>+J12+J14</f>
        <v>#REF!</v>
      </c>
      <c r="K15" s="1" t="e">
        <f>SUM(B15:J15)</f>
        <v>#REF!</v>
      </c>
    </row>
    <row r="17" spans="1:11" x14ac:dyDescent="0.2">
      <c r="A17" t="s">
        <v>6</v>
      </c>
      <c r="B17" s="1" t="e">
        <f>B$9/($K$9-$J$9-$I$9-$H$9)*-$H$17</f>
        <v>#REF!</v>
      </c>
      <c r="C17" s="1" t="e">
        <f>C$9/($K$9-$J$9-$I$9-$H$9)*-$H$17</f>
        <v>#REF!</v>
      </c>
      <c r="D17" s="1" t="e">
        <f>D$9/($K$9-$J$9-$I$9-$H$9)*-$H$17</f>
        <v>#REF!</v>
      </c>
      <c r="E17" s="1" t="e">
        <f>E$9/($K$9-$J$9-$I$9-$H$9)*-$H$17</f>
        <v>#REF!</v>
      </c>
      <c r="G17" s="1" t="e">
        <f>G$9/($K$9-$J$9-$I$9-$H$9)*-$H$17</f>
        <v>#REF!</v>
      </c>
      <c r="H17" s="1" t="e">
        <f>-H15</f>
        <v>#REF!</v>
      </c>
      <c r="K17" s="1">
        <v>0</v>
      </c>
    </row>
    <row r="18" spans="1:11" x14ac:dyDescent="0.2">
      <c r="A18" t="s">
        <v>4</v>
      </c>
      <c r="B18" s="1" t="e">
        <f>+B15+B17</f>
        <v>#REF!</v>
      </c>
      <c r="C18" s="1" t="e">
        <f>+C15+C17</f>
        <v>#REF!</v>
      </c>
      <c r="D18" s="1" t="e">
        <f>+D15+D17</f>
        <v>#REF!</v>
      </c>
      <c r="E18" s="1" t="e">
        <f>+E15+E17</f>
        <v>#REF!</v>
      </c>
      <c r="G18" s="1" t="e">
        <f>+G15+G17</f>
        <v>#REF!</v>
      </c>
      <c r="H18" s="1" t="e">
        <f>+H15+H17</f>
        <v>#REF!</v>
      </c>
      <c r="I18" s="1" t="e">
        <f>+I15+I17</f>
        <v>#REF!</v>
      </c>
      <c r="J18" s="1" t="e">
        <f>+J15+J17</f>
        <v>#REF!</v>
      </c>
      <c r="K18" s="1" t="e">
        <f>SUM(B18:J18)</f>
        <v>#REF!</v>
      </c>
    </row>
    <row r="20" spans="1:11" x14ac:dyDescent="0.2">
      <c r="A20" t="s">
        <v>7</v>
      </c>
      <c r="B20" s="1" t="e">
        <f>B$9/($K$9-$J$9-$I$9-$H$9-$G$9)*-$G$20</f>
        <v>#REF!</v>
      </c>
      <c r="C20" s="1" t="e">
        <f>C$9/($K$9-$J$9-$I$9-$H$9-$G$9)*-$G$20</f>
        <v>#REF!</v>
      </c>
      <c r="D20" s="1" t="e">
        <f>D$9/($K$9-$J$9-$I$9-$H$9-$G$9)*-$G$20</f>
        <v>#REF!</v>
      </c>
      <c r="E20" s="1" t="e">
        <f>E$9/($K$9-$J$9-$I$9-$H$9-$G$9)*-$G$20</f>
        <v>#REF!</v>
      </c>
      <c r="G20" s="1" t="e">
        <f>-G18</f>
        <v>#REF!</v>
      </c>
      <c r="K20" s="1" t="e">
        <f>SUM(B20:J20)</f>
        <v>#REF!</v>
      </c>
    </row>
    <row r="22" spans="1:11" x14ac:dyDescent="0.2">
      <c r="A22" t="s">
        <v>8</v>
      </c>
      <c r="B22" s="1" t="e">
        <f>+B20+B18</f>
        <v>#REF!</v>
      </c>
      <c r="C22" s="1" t="e">
        <f t="shared" ref="C22:K22" si="3">+C20+C18</f>
        <v>#REF!</v>
      </c>
      <c r="D22" s="1" t="e">
        <f t="shared" si="3"/>
        <v>#REF!</v>
      </c>
      <c r="E22" s="1" t="e">
        <f t="shared" si="3"/>
        <v>#REF!</v>
      </c>
      <c r="G22" s="1" t="e">
        <f t="shared" si="3"/>
        <v>#REF!</v>
      </c>
      <c r="H22" s="1" t="e">
        <f t="shared" si="3"/>
        <v>#REF!</v>
      </c>
      <c r="I22" s="1" t="e">
        <f t="shared" si="3"/>
        <v>#REF!</v>
      </c>
      <c r="J22" s="1" t="e">
        <f t="shared" si="3"/>
        <v>#REF!</v>
      </c>
      <c r="K22" s="1" t="e">
        <f t="shared" si="3"/>
        <v>#REF!</v>
      </c>
    </row>
    <row r="27" spans="1:11" x14ac:dyDescent="0.2">
      <c r="A27" t="s">
        <v>9</v>
      </c>
      <c r="B27" s="1" t="e">
        <f>+B9</f>
        <v>#REF!</v>
      </c>
    </row>
    <row r="28" spans="1:11" x14ac:dyDescent="0.2">
      <c r="A28" t="s">
        <v>10</v>
      </c>
      <c r="B28" s="1" t="e">
        <f>+B22-B27</f>
        <v>#REF!</v>
      </c>
    </row>
    <row r="29" spans="1:11" x14ac:dyDescent="0.2">
      <c r="A29" s="22" t="s">
        <v>103</v>
      </c>
      <c r="B29" s="1">
        <v>470</v>
      </c>
    </row>
    <row r="30" spans="1:11" x14ac:dyDescent="0.2">
      <c r="A30" t="s">
        <v>11</v>
      </c>
      <c r="B30" s="1" t="e">
        <f>+B28/B29</f>
        <v>#REF!</v>
      </c>
    </row>
  </sheetData>
  <phoneticPr fontId="0" type="noConversion"/>
  <pageMargins left="0.52" right="0.45" top="1" bottom="1" header="0.5" footer="0.5"/>
  <pageSetup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1">
    <pageSetUpPr fitToPage="1"/>
  </sheetPr>
  <dimension ref="A1:K30"/>
  <sheetViews>
    <sheetView zoomScale="75" workbookViewId="0">
      <selection activeCell="A29" sqref="A29:B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6.85546875" style="1" customWidth="1"/>
  </cols>
  <sheetData>
    <row r="1" spans="1:11" ht="15.75" x14ac:dyDescent="0.25">
      <c r="A1" s="4" t="str">
        <f>+System!$A$1</f>
        <v>MINNESOTA STATE - F.Y. 2024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93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Table'!B31</f>
        <v>11936044.66</v>
      </c>
      <c r="C9" s="1">
        <f>'Master Expend Table'!C31</f>
        <v>7640.61</v>
      </c>
      <c r="D9" s="1">
        <f>'Master Expend Table'!D31</f>
        <v>208335.47</v>
      </c>
      <c r="E9" s="1">
        <f>'Master Expend Table'!E31</f>
        <v>269803.58</v>
      </c>
      <c r="G9" s="1">
        <f>'Master Expend Table'!G31</f>
        <v>3654787.52</v>
      </c>
      <c r="H9" s="1">
        <f>'Master Expend Table'!H31</f>
        <v>3325672.19</v>
      </c>
      <c r="I9" s="1">
        <f>'Master Expend Table'!I31</f>
        <v>3198781.22</v>
      </c>
      <c r="J9" s="1">
        <f>'Master Expend Table'!J31</f>
        <v>2609805.7200000002</v>
      </c>
      <c r="K9" s="1">
        <f>SUM(B9:J9)</f>
        <v>25210870.969999999</v>
      </c>
    </row>
    <row r="11" spans="1:11" x14ac:dyDescent="0.2">
      <c r="A11" t="s">
        <v>3</v>
      </c>
      <c r="B11" s="1">
        <f>(B9/($K9-$J9))*-$J$11</f>
        <v>1378287.1419232532</v>
      </c>
      <c r="C11" s="1">
        <f t="shared" ref="C11:I11" si="0">(C9/($K9-$J9))*-$J$11</f>
        <v>882.28176246202383</v>
      </c>
      <c r="D11" s="1">
        <f t="shared" si="0"/>
        <v>24057.056394051535</v>
      </c>
      <c r="E11" s="1">
        <f t="shared" si="0"/>
        <v>31154.944183902026</v>
      </c>
      <c r="G11" s="1">
        <f t="shared" si="0"/>
        <v>422028.13316866185</v>
      </c>
      <c r="H11" s="1">
        <f t="shared" si="0"/>
        <v>384024.30187696253</v>
      </c>
      <c r="I11" s="1">
        <f t="shared" si="0"/>
        <v>369371.86069070705</v>
      </c>
      <c r="J11" s="1">
        <f>-J9</f>
        <v>-2609805.7200000002</v>
      </c>
      <c r="K11" s="1">
        <v>0</v>
      </c>
    </row>
    <row r="12" spans="1:11" x14ac:dyDescent="0.2">
      <c r="A12" t="s">
        <v>4</v>
      </c>
      <c r="B12" s="1">
        <f>+B9+B11</f>
        <v>13314331.801923253</v>
      </c>
      <c r="C12" s="1">
        <f t="shared" ref="C12:J12" si="1">+C9+C11</f>
        <v>8522.8917624620226</v>
      </c>
      <c r="D12" s="1">
        <f t="shared" si="1"/>
        <v>232392.52639405153</v>
      </c>
      <c r="E12" s="1">
        <f t="shared" si="1"/>
        <v>300958.52418390202</v>
      </c>
      <c r="G12" s="1">
        <f t="shared" si="1"/>
        <v>4076815.653168662</v>
      </c>
      <c r="H12" s="1">
        <f t="shared" si="1"/>
        <v>3709696.4918769626</v>
      </c>
      <c r="I12" s="1">
        <f t="shared" si="1"/>
        <v>3568153.0806907071</v>
      </c>
      <c r="J12" s="1">
        <f t="shared" si="1"/>
        <v>0</v>
      </c>
      <c r="K12" s="1">
        <f>SUM(B12:J12)</f>
        <v>25210870.970000003</v>
      </c>
    </row>
    <row r="14" spans="1:11" x14ac:dyDescent="0.2">
      <c r="A14" t="s">
        <v>5</v>
      </c>
      <c r="B14" s="1">
        <f>B$9/($K$9-$J$9-$I$9)*-I14</f>
        <v>2195083.5509359804</v>
      </c>
      <c r="C14" s="1">
        <f t="shared" ref="C14:H14" si="2">C$9/($K$9-$J$9-$I$9)*-$I$14</f>
        <v>1405.1369450989437</v>
      </c>
      <c r="D14" s="1">
        <f t="shared" si="2"/>
        <v>38313.6772942936</v>
      </c>
      <c r="E14" s="1">
        <f t="shared" si="2"/>
        <v>49617.894144310267</v>
      </c>
      <c r="G14" s="1">
        <f t="shared" si="2"/>
        <v>672129.18482144026</v>
      </c>
      <c r="H14" s="1">
        <f t="shared" si="2"/>
        <v>611603.63654958352</v>
      </c>
      <c r="I14" s="1">
        <f>-I12</f>
        <v>-3568153.0806907071</v>
      </c>
      <c r="K14" s="1">
        <v>0</v>
      </c>
    </row>
    <row r="15" spans="1:11" x14ac:dyDescent="0.2">
      <c r="A15" t="s">
        <v>4</v>
      </c>
      <c r="B15" s="1">
        <f>+B12+B14</f>
        <v>15509415.352859233</v>
      </c>
      <c r="C15" s="1">
        <f>+C12+C14</f>
        <v>9928.0287075609667</v>
      </c>
      <c r="D15" s="1">
        <f>+D12+D14</f>
        <v>270706.20368834515</v>
      </c>
      <c r="E15" s="1">
        <f>+E12+E14</f>
        <v>350576.41832821228</v>
      </c>
      <c r="G15" s="1">
        <f>+G12+G14</f>
        <v>4748944.8379901024</v>
      </c>
      <c r="H15" s="1">
        <f>+H12+H14</f>
        <v>4321300.1284265462</v>
      </c>
      <c r="I15" s="1">
        <f>+I12+I14</f>
        <v>0</v>
      </c>
      <c r="J15" s="1">
        <f>+J12+J14</f>
        <v>0</v>
      </c>
      <c r="K15" s="1">
        <f>SUM(B15:J15)</f>
        <v>25210870.969999999</v>
      </c>
    </row>
    <row r="17" spans="1:11" x14ac:dyDescent="0.2">
      <c r="A17" t="s">
        <v>6</v>
      </c>
      <c r="B17" s="1">
        <f>B$9/($K$9-$J$9-$I$9-$H$9)*-$H$17</f>
        <v>3208339.6573542566</v>
      </c>
      <c r="C17" s="1">
        <f>C$9/($K$9-$J$9-$I$9-$H$9)*-$H$17</f>
        <v>2053.7517048279465</v>
      </c>
      <c r="D17" s="1">
        <f>D$9/($K$9-$J$9-$I$9-$H$9)*-$H$17</f>
        <v>55999.367418129121</v>
      </c>
      <c r="E17" s="1">
        <f>E$9/($K$9-$J$9-$I$9-$H$9)*-$H$17</f>
        <v>72521.639292371066</v>
      </c>
      <c r="G17" s="1">
        <f>G$9/($K$9-$J$9-$I$9-$H$9)*-$H$17</f>
        <v>982385.71265696106</v>
      </c>
      <c r="H17" s="1">
        <f>-H15</f>
        <v>-4321300.1284265462</v>
      </c>
      <c r="K17" s="1">
        <v>0</v>
      </c>
    </row>
    <row r="18" spans="1:11" x14ac:dyDescent="0.2">
      <c r="A18" t="s">
        <v>4</v>
      </c>
      <c r="B18" s="1">
        <f>+B15+B17</f>
        <v>18717755.010213491</v>
      </c>
      <c r="C18" s="1">
        <f>+C15+C17</f>
        <v>11981.780412388913</v>
      </c>
      <c r="D18" s="1">
        <f>+D15+D17</f>
        <v>326705.57110647426</v>
      </c>
      <c r="E18" s="1">
        <f>+E15+E17</f>
        <v>423098.05762058333</v>
      </c>
      <c r="G18" s="1">
        <f>+G15+G17</f>
        <v>5731330.5506470632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25210870.969999999</v>
      </c>
    </row>
    <row r="20" spans="1:11" x14ac:dyDescent="0.2">
      <c r="A20" t="s">
        <v>7</v>
      </c>
      <c r="B20" s="1">
        <f>B$9/($K$9-$J$9-$I$9-$H$9-$G$9)*-$G$20</f>
        <v>5507195.6945649134</v>
      </c>
      <c r="C20" s="1">
        <f>C$9/($K$9-$J$9-$I$9-$H$9-$G$9)*-$G$20</f>
        <v>3525.3164422936748</v>
      </c>
      <c r="D20" s="1">
        <f>D$9/($K$9-$J$9-$I$9-$H$9-$G$9)*-$G$20</f>
        <v>96124.322260131143</v>
      </c>
      <c r="E20" s="1">
        <f>E$9/($K$9-$J$9-$I$9-$H$9-$G$9)*-$G$20</f>
        <v>124485.21737972453</v>
      </c>
      <c r="G20" s="1">
        <f>-G18</f>
        <v>-5731330.5506470632</v>
      </c>
      <c r="K20" s="1">
        <f>SUM(B20:J20)</f>
        <v>0</v>
      </c>
    </row>
    <row r="22" spans="1:11" x14ac:dyDescent="0.2">
      <c r="A22" t="s">
        <v>8</v>
      </c>
      <c r="B22" s="1">
        <f>+B20+B18</f>
        <v>24224950.704778403</v>
      </c>
      <c r="C22" s="1">
        <f t="shared" ref="C22:K22" si="3">+C20+C18</f>
        <v>15507.096854682588</v>
      </c>
      <c r="D22" s="1">
        <f t="shared" si="3"/>
        <v>422829.89336660539</v>
      </c>
      <c r="E22" s="1">
        <f t="shared" si="3"/>
        <v>547583.27500030783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25210870.969999999</v>
      </c>
    </row>
    <row r="27" spans="1:11" x14ac:dyDescent="0.2">
      <c r="A27" t="s">
        <v>9</v>
      </c>
      <c r="B27" s="1">
        <f>B9</f>
        <v>11936044.66</v>
      </c>
    </row>
    <row r="28" spans="1:11" x14ac:dyDescent="0.2">
      <c r="A28" t="s">
        <v>10</v>
      </c>
      <c r="B28" s="1">
        <f>+B22-B27</f>
        <v>12288906.044778403</v>
      </c>
    </row>
    <row r="29" spans="1:11" x14ac:dyDescent="0.2">
      <c r="A29" s="22" t="s">
        <v>106</v>
      </c>
      <c r="B29" s="1">
        <v>1426</v>
      </c>
    </row>
    <row r="30" spans="1:11" x14ac:dyDescent="0.2">
      <c r="A30" t="s">
        <v>11</v>
      </c>
      <c r="B30" s="1">
        <f>+B28/B29</f>
        <v>8617.7461744589073</v>
      </c>
    </row>
  </sheetData>
  <phoneticPr fontId="0" type="noConversion"/>
  <pageMargins left="0.51" right="0.55000000000000004" top="1" bottom="0.62" header="0.5" footer="0.5"/>
  <pageSetup scale="10" orientation="landscape" horizontalDpi="4294967294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2">
    <pageSetUpPr fitToPage="1"/>
  </sheetPr>
  <dimension ref="A1:K30"/>
  <sheetViews>
    <sheetView zoomScale="75" workbookViewId="0">
      <selection activeCell="A29" sqref="A29:B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.140625" style="1" customWidth="1"/>
  </cols>
  <sheetData>
    <row r="1" spans="1:11" ht="15.75" x14ac:dyDescent="0.25">
      <c r="A1" s="4" t="str">
        <f>+System!$A$1</f>
        <v>MINNESOTA STATE - F.Y. 2024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94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Table'!B32</f>
        <v>4664075.93</v>
      </c>
      <c r="C9" s="1">
        <f>'Master Expend Table'!C32</f>
        <v>0</v>
      </c>
      <c r="D9" s="1">
        <f>'Master Expend Table'!D32</f>
        <v>573484.11</v>
      </c>
      <c r="E9" s="1">
        <f>'Master Expend Table'!E32</f>
        <v>0</v>
      </c>
      <c r="G9" s="1">
        <f>'Master Expend Table'!G32</f>
        <v>1185958.04</v>
      </c>
      <c r="H9" s="1">
        <f>'Master Expend Table'!H32</f>
        <v>1792406.86</v>
      </c>
      <c r="I9" s="1">
        <f>'Master Expend Table'!I32</f>
        <v>2030446.34</v>
      </c>
      <c r="J9" s="1">
        <f>'Master Expend Table'!J32</f>
        <v>1328108.3899999999</v>
      </c>
      <c r="K9" s="1">
        <f>SUM(B9:J9)</f>
        <v>11574479.670000002</v>
      </c>
    </row>
    <row r="11" spans="1:11" x14ac:dyDescent="0.2">
      <c r="A11" t="s">
        <v>3</v>
      </c>
      <c r="B11" s="1">
        <f>(B9/($K9-$J9))*-$J$11</f>
        <v>604545.57081305084</v>
      </c>
      <c r="C11" s="1">
        <f t="shared" ref="C11:I11" si="0">(C9/($K9-$J9))*-$J$11</f>
        <v>0</v>
      </c>
      <c r="D11" s="1">
        <f t="shared" si="0"/>
        <v>74333.540841854279</v>
      </c>
      <c r="E11" s="1">
        <f t="shared" si="0"/>
        <v>0</v>
      </c>
      <c r="G11" s="1">
        <f t="shared" si="0"/>
        <v>153720.84224454878</v>
      </c>
      <c r="H11" s="1">
        <f t="shared" si="0"/>
        <v>232327.18432779209</v>
      </c>
      <c r="I11" s="1">
        <f t="shared" si="0"/>
        <v>263181.25177275366</v>
      </c>
      <c r="J11" s="1">
        <f>-J9</f>
        <v>-1328108.3899999999</v>
      </c>
      <c r="K11" s="1">
        <v>0</v>
      </c>
    </row>
    <row r="12" spans="1:11" x14ac:dyDescent="0.2">
      <c r="A12" t="s">
        <v>4</v>
      </c>
      <c r="B12" s="1">
        <f>+B9+B11</f>
        <v>5268621.5008130502</v>
      </c>
      <c r="C12" s="1">
        <f t="shared" ref="C12:J12" si="1">+C9+C11</f>
        <v>0</v>
      </c>
      <c r="D12" s="1">
        <f t="shared" si="1"/>
        <v>647817.65084185428</v>
      </c>
      <c r="E12" s="1">
        <f t="shared" si="1"/>
        <v>0</v>
      </c>
      <c r="G12" s="1">
        <f t="shared" si="1"/>
        <v>1339678.8822445488</v>
      </c>
      <c r="H12" s="1">
        <f t="shared" si="1"/>
        <v>2024734.0443277922</v>
      </c>
      <c r="I12" s="1">
        <f t="shared" si="1"/>
        <v>2293627.5917727537</v>
      </c>
      <c r="J12" s="1">
        <f t="shared" si="1"/>
        <v>0</v>
      </c>
      <c r="K12" s="1">
        <f>SUM(B12:J12)</f>
        <v>11574479.67</v>
      </c>
    </row>
    <row r="14" spans="1:11" x14ac:dyDescent="0.2">
      <c r="A14" t="s">
        <v>5</v>
      </c>
      <c r="B14" s="1">
        <f>B$9/($K$9-$J$9-$I$9)*-I14</f>
        <v>1302063.1665083305</v>
      </c>
      <c r="C14" s="1">
        <f t="shared" ref="C14:H14" si="2">C$9/($K$9-$J$9-$I$9)*-$I$14</f>
        <v>0</v>
      </c>
      <c r="D14" s="1">
        <f t="shared" si="2"/>
        <v>160098.70924395774</v>
      </c>
      <c r="E14" s="1">
        <f t="shared" si="2"/>
        <v>0</v>
      </c>
      <c r="G14" s="1">
        <f t="shared" si="2"/>
        <v>331082.14876519248</v>
      </c>
      <c r="H14" s="1">
        <f t="shared" si="2"/>
        <v>500383.56725527276</v>
      </c>
      <c r="I14" s="1">
        <f>-I12</f>
        <v>-2293627.5917727537</v>
      </c>
      <c r="K14" s="1">
        <v>0</v>
      </c>
    </row>
    <row r="15" spans="1:11" x14ac:dyDescent="0.2">
      <c r="A15" t="s">
        <v>4</v>
      </c>
      <c r="B15" s="1">
        <f>+B12+B14</f>
        <v>6570684.6673213802</v>
      </c>
      <c r="C15" s="1">
        <f>+C12+C14</f>
        <v>0</v>
      </c>
      <c r="D15" s="1">
        <f>+D12+D14</f>
        <v>807916.36008581205</v>
      </c>
      <c r="E15" s="1">
        <f>+E12+E14</f>
        <v>0</v>
      </c>
      <c r="G15" s="1">
        <f>+G12+G14</f>
        <v>1670761.0310097411</v>
      </c>
      <c r="H15" s="1">
        <f>+H12+H14</f>
        <v>2525117.6115830652</v>
      </c>
      <c r="I15" s="1">
        <f>+I12+I14</f>
        <v>0</v>
      </c>
      <c r="J15" s="1">
        <f>+J12+J14</f>
        <v>0</v>
      </c>
      <c r="K15" s="1">
        <f>SUM(B15:J15)</f>
        <v>11574479.669999998</v>
      </c>
    </row>
    <row r="17" spans="1:11" x14ac:dyDescent="0.2">
      <c r="A17" t="s">
        <v>6</v>
      </c>
      <c r="B17" s="1">
        <f>B$9/($K$9-$J$9-$I$9-$H$9)*-$H$17</f>
        <v>1833471.9581895629</v>
      </c>
      <c r="C17" s="1">
        <f>C$9/($K$9-$J$9-$I$9-$H$9)*-$H$17</f>
        <v>0</v>
      </c>
      <c r="D17" s="1">
        <f>D$9/($K$9-$J$9-$I$9-$H$9)*-$H$17</f>
        <v>225439.51898147995</v>
      </c>
      <c r="E17" s="1">
        <f>E$9/($K$9-$J$9-$I$9-$H$9)*-$H$17</f>
        <v>0</v>
      </c>
      <c r="G17" s="1">
        <f>G$9/($K$9-$J$9-$I$9-$H$9)*-$H$17</f>
        <v>466206.1344120219</v>
      </c>
      <c r="H17" s="1">
        <f>-H15</f>
        <v>-2525117.6115830652</v>
      </c>
      <c r="K17" s="1">
        <v>0</v>
      </c>
    </row>
    <row r="18" spans="1:11" x14ac:dyDescent="0.2">
      <c r="A18" t="s">
        <v>4</v>
      </c>
      <c r="B18" s="1">
        <f>+B15+B17</f>
        <v>8404156.6255109422</v>
      </c>
      <c r="C18" s="1">
        <f>+C15+C17</f>
        <v>0</v>
      </c>
      <c r="D18" s="1">
        <f>+D15+D17</f>
        <v>1033355.879067292</v>
      </c>
      <c r="E18" s="1">
        <f>+E15+E17</f>
        <v>0</v>
      </c>
      <c r="G18" s="1">
        <f>+G15+G17</f>
        <v>2136967.165421763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11574479.669999998</v>
      </c>
    </row>
    <row r="20" spans="1:11" x14ac:dyDescent="0.2">
      <c r="A20" t="s">
        <v>7</v>
      </c>
      <c r="B20" s="1">
        <f>B$9/($K$9-$J$9-$I$9-$H$9-$G$9)*-$G$20</f>
        <v>1902980.9765090484</v>
      </c>
      <c r="C20" s="1">
        <f>C$9/($K$9-$J$9-$I$9-$H$9-$G$9)*-$G$20</f>
        <v>0</v>
      </c>
      <c r="D20" s="1">
        <f>D$9/($K$9-$J$9-$I$9-$H$9-$G$9)*-$G$20</f>
        <v>233986.18891271407</v>
      </c>
      <c r="E20" s="1">
        <f>E$9/($K$9-$J$9-$I$9-$H$9-$G$9)*-$G$20</f>
        <v>0</v>
      </c>
      <c r="G20" s="1">
        <f>-G18</f>
        <v>-2136967.165421763</v>
      </c>
      <c r="K20" s="1">
        <f>SUM(B20:J20)</f>
        <v>0</v>
      </c>
    </row>
    <row r="22" spans="1:11" x14ac:dyDescent="0.2">
      <c r="A22" t="s">
        <v>8</v>
      </c>
      <c r="B22" s="1">
        <f>+B20+B18</f>
        <v>10307137.60201999</v>
      </c>
      <c r="C22" s="1">
        <f t="shared" ref="C22:K22" si="3">+C20+C18</f>
        <v>0</v>
      </c>
      <c r="D22" s="1">
        <f t="shared" si="3"/>
        <v>1267342.0679800061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11574479.669999998</v>
      </c>
    </row>
    <row r="27" spans="1:11" x14ac:dyDescent="0.2">
      <c r="A27" t="s">
        <v>9</v>
      </c>
      <c r="B27" s="1">
        <f>+B9</f>
        <v>4664075.93</v>
      </c>
    </row>
    <row r="28" spans="1:11" x14ac:dyDescent="0.2">
      <c r="A28" t="s">
        <v>10</v>
      </c>
      <c r="B28" s="1">
        <f>+B22-B27</f>
        <v>5643061.6720199902</v>
      </c>
    </row>
    <row r="29" spans="1:11" x14ac:dyDescent="0.2">
      <c r="A29" s="22" t="s">
        <v>106</v>
      </c>
      <c r="B29" s="1">
        <v>832</v>
      </c>
    </row>
    <row r="30" spans="1:11" x14ac:dyDescent="0.2">
      <c r="A30" t="s">
        <v>11</v>
      </c>
      <c r="B30" s="1">
        <f>+B28/B29</f>
        <v>6782.52604810095</v>
      </c>
    </row>
  </sheetData>
  <phoneticPr fontId="0" type="noConversion"/>
  <pageMargins left="0.56000000000000005" right="0.55000000000000004" top="1" bottom="0.55000000000000004" header="0.5" footer="0.5"/>
  <pageSetup scale="10" orientation="landscape" horizontalDpi="4294967294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3">
    <pageSetUpPr fitToPage="1"/>
  </sheetPr>
  <dimension ref="A1:K30"/>
  <sheetViews>
    <sheetView zoomScale="75" workbookViewId="0">
      <selection activeCell="A29" sqref="A29:B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.42578125" style="1" customWidth="1"/>
  </cols>
  <sheetData>
    <row r="1" spans="1:11" ht="15.75" x14ac:dyDescent="0.25">
      <c r="A1" s="4" t="str">
        <f>+System!$A$1</f>
        <v>MINNESOTA STATE - F.Y. 2024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31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Table'!B33</f>
        <v>16575471.390000001</v>
      </c>
      <c r="C9" s="1">
        <f>'Master Expend Table'!C33</f>
        <v>0</v>
      </c>
      <c r="D9" s="1">
        <f>'Master Expend Table'!D33</f>
        <v>2256739.7999999998</v>
      </c>
      <c r="E9" s="1">
        <f>'Master Expend Table'!E33</f>
        <v>3320.31</v>
      </c>
      <c r="G9" s="1">
        <f>'Master Expend Table'!G33</f>
        <v>3127850.56</v>
      </c>
      <c r="H9" s="1">
        <f>'Master Expend Table'!H33</f>
        <v>4723572.57</v>
      </c>
      <c r="I9" s="1">
        <f>'Master Expend Table'!I33</f>
        <v>4787149.24</v>
      </c>
      <c r="J9" s="1">
        <f>'Master Expend Table'!J33</f>
        <v>3473450.27</v>
      </c>
      <c r="K9" s="1">
        <f>SUM(B9:J9)</f>
        <v>34947554.140000001</v>
      </c>
    </row>
    <row r="11" spans="1:11" x14ac:dyDescent="0.2">
      <c r="A11" t="s">
        <v>3</v>
      </c>
      <c r="B11" s="1">
        <f>(B9/($K9-$J9))*-$J$11</f>
        <v>1829252.2580714473</v>
      </c>
      <c r="C11" s="1">
        <f t="shared" ref="C11:I11" si="0">(C9/($K9-$J9))*-$J$11</f>
        <v>0</v>
      </c>
      <c r="D11" s="1">
        <f t="shared" si="0"/>
        <v>249051.52184813406</v>
      </c>
      <c r="E11" s="1">
        <f t="shared" si="0"/>
        <v>366.42605341899758</v>
      </c>
      <c r="G11" s="1">
        <f t="shared" si="0"/>
        <v>345186.42427520372</v>
      </c>
      <c r="H11" s="1">
        <f t="shared" si="0"/>
        <v>521288.69137620647</v>
      </c>
      <c r="I11" s="1">
        <f t="shared" si="0"/>
        <v>528304.94837558968</v>
      </c>
      <c r="J11" s="1">
        <f>-J9</f>
        <v>-3473450.27</v>
      </c>
      <c r="K11" s="1">
        <v>0</v>
      </c>
    </row>
    <row r="12" spans="1:11" x14ac:dyDescent="0.2">
      <c r="A12" t="s">
        <v>4</v>
      </c>
      <c r="B12" s="1">
        <f>+B9+B11</f>
        <v>18404723.648071449</v>
      </c>
      <c r="C12" s="1">
        <f t="shared" ref="C12:J12" si="1">+C9+C11</f>
        <v>0</v>
      </c>
      <c r="D12" s="1">
        <f t="shared" si="1"/>
        <v>2505791.321848134</v>
      </c>
      <c r="E12" s="1">
        <f t="shared" si="1"/>
        <v>3686.7360534189975</v>
      </c>
      <c r="G12" s="1">
        <f t="shared" si="1"/>
        <v>3473036.9842752037</v>
      </c>
      <c r="H12" s="1">
        <f t="shared" si="1"/>
        <v>5244861.2613762068</v>
      </c>
      <c r="I12" s="1">
        <f t="shared" si="1"/>
        <v>5315454.1883755904</v>
      </c>
      <c r="J12" s="1">
        <f t="shared" si="1"/>
        <v>0</v>
      </c>
      <c r="K12" s="1">
        <f>SUM(B12:J12)</f>
        <v>34947554.140000001</v>
      </c>
    </row>
    <row r="14" spans="1:11" x14ac:dyDescent="0.2">
      <c r="A14" t="s">
        <v>5</v>
      </c>
      <c r="B14" s="1">
        <f>B$9/($K$9-$J$9-$I$9)*-I14</f>
        <v>3301469.2026804434</v>
      </c>
      <c r="C14" s="1">
        <f t="shared" ref="C14:H14" si="2">C$9/($K$9-$J$9-$I$9)*-$I$14</f>
        <v>0</v>
      </c>
      <c r="D14" s="1">
        <f t="shared" si="2"/>
        <v>449492.91473291983</v>
      </c>
      <c r="E14" s="1">
        <f t="shared" si="2"/>
        <v>661.33269760069857</v>
      </c>
      <c r="G14" s="1">
        <f t="shared" si="2"/>
        <v>622999.01169970748</v>
      </c>
      <c r="H14" s="1">
        <f t="shared" si="2"/>
        <v>940831.72656491864</v>
      </c>
      <c r="I14" s="1">
        <f>-I12</f>
        <v>-5315454.1883755904</v>
      </c>
      <c r="K14" s="1">
        <v>0</v>
      </c>
    </row>
    <row r="15" spans="1:11" x14ac:dyDescent="0.2">
      <c r="A15" t="s">
        <v>4</v>
      </c>
      <c r="B15" s="1">
        <f>+B12+B14</f>
        <v>21706192.850751892</v>
      </c>
      <c r="C15" s="1">
        <f>+C12+C14</f>
        <v>0</v>
      </c>
      <c r="D15" s="1">
        <f>+D12+D14</f>
        <v>2955284.2365810541</v>
      </c>
      <c r="E15" s="1">
        <f>+E12+E14</f>
        <v>4348.0687510196958</v>
      </c>
      <c r="G15" s="1">
        <f>+G12+G14</f>
        <v>4096035.9959749114</v>
      </c>
      <c r="H15" s="1">
        <f>+H12+H14</f>
        <v>6185692.9879411254</v>
      </c>
      <c r="I15" s="1">
        <f>+I12+I14</f>
        <v>0</v>
      </c>
      <c r="J15" s="1">
        <f>+J12+J14</f>
        <v>0</v>
      </c>
      <c r="K15" s="1">
        <f>SUM(B15:J15)</f>
        <v>34947554.140000001</v>
      </c>
    </row>
    <row r="17" spans="1:11" x14ac:dyDescent="0.2">
      <c r="A17" t="s">
        <v>6</v>
      </c>
      <c r="B17" s="1">
        <f>B$9/($K$9-$J$9-$I$9-$H$9)*-$H$17</f>
        <v>4668259.9641915867</v>
      </c>
      <c r="C17" s="1">
        <f>C$9/($K$9-$J$9-$I$9-$H$9)*-$H$17</f>
        <v>0</v>
      </c>
      <c r="D17" s="1">
        <f>D$9/($K$9-$J$9-$I$9-$H$9)*-$H$17</f>
        <v>635580.60039809986</v>
      </c>
      <c r="E17" s="1">
        <f>E$9/($K$9-$J$9-$I$9-$H$9)*-$H$17</f>
        <v>935.12093122468752</v>
      </c>
      <c r="G17" s="1">
        <f>G$9/($K$9-$J$9-$I$9-$H$9)*-$H$17</f>
        <v>880917.30242021393</v>
      </c>
      <c r="H17" s="1">
        <f>-H15</f>
        <v>-6185692.9879411254</v>
      </c>
      <c r="K17" s="1">
        <v>0</v>
      </c>
    </row>
    <row r="18" spans="1:11" x14ac:dyDescent="0.2">
      <c r="A18" t="s">
        <v>4</v>
      </c>
      <c r="B18" s="1">
        <f>+B15+B17</f>
        <v>26374452.814943478</v>
      </c>
      <c r="C18" s="1">
        <f>+C15+C17</f>
        <v>0</v>
      </c>
      <c r="D18" s="1">
        <f>+D15+D17</f>
        <v>3590864.836979154</v>
      </c>
      <c r="E18" s="1">
        <f>+E15+E17</f>
        <v>5283.1896822443832</v>
      </c>
      <c r="G18" s="1">
        <f>+G15+G17</f>
        <v>4976953.2983951252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34947554.140000001</v>
      </c>
    </row>
    <row r="20" spans="1:11" x14ac:dyDescent="0.2">
      <c r="A20" t="s">
        <v>7</v>
      </c>
      <c r="B20" s="1">
        <f>B$9/($K$9-$J$9-$I$9-$H$9-$G$9)*-$G$20</f>
        <v>4379772.7187530929</v>
      </c>
      <c r="C20" s="1">
        <f>C$9/($K$9-$J$9-$I$9-$H$9-$G$9)*-$G$20</f>
        <v>0</v>
      </c>
      <c r="D20" s="1">
        <f>D$9/($K$9-$J$9-$I$9-$H$9-$G$9)*-$G$20</f>
        <v>596303.2469367563</v>
      </c>
      <c r="E20" s="1">
        <f>E$9/($K$9-$J$9-$I$9-$H$9-$G$9)*-$G$20</f>
        <v>877.33270527536285</v>
      </c>
      <c r="G20" s="1">
        <f>-G18</f>
        <v>-4976953.2983951252</v>
      </c>
      <c r="K20" s="1">
        <f>SUM(B20:J20)</f>
        <v>0</v>
      </c>
    </row>
    <row r="22" spans="1:11" x14ac:dyDescent="0.2">
      <c r="A22" t="s">
        <v>8</v>
      </c>
      <c r="B22" s="1">
        <f>+B20+B18</f>
        <v>30754225.53369657</v>
      </c>
      <c r="C22" s="1">
        <f t="shared" ref="C22:K22" si="3">+C20+C18</f>
        <v>0</v>
      </c>
      <c r="D22" s="1">
        <f t="shared" si="3"/>
        <v>4187168.0839159102</v>
      </c>
      <c r="E22" s="1">
        <f t="shared" si="3"/>
        <v>6160.5223875197462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34947554.140000001</v>
      </c>
    </row>
    <row r="27" spans="1:11" x14ac:dyDescent="0.2">
      <c r="A27" t="s">
        <v>9</v>
      </c>
      <c r="B27" s="1">
        <f>+B9</f>
        <v>16575471.390000001</v>
      </c>
    </row>
    <row r="28" spans="1:11" x14ac:dyDescent="0.2">
      <c r="A28" t="s">
        <v>10</v>
      </c>
      <c r="B28" s="1">
        <f>+B22-B27</f>
        <v>14178754.143696569</v>
      </c>
    </row>
    <row r="29" spans="1:11" x14ac:dyDescent="0.2">
      <c r="A29" s="22" t="s">
        <v>106</v>
      </c>
      <c r="B29" s="1">
        <v>2081</v>
      </c>
    </row>
    <row r="30" spans="1:11" x14ac:dyDescent="0.2">
      <c r="A30" t="s">
        <v>11</v>
      </c>
      <c r="B30" s="1">
        <f>+B28/B29</f>
        <v>6813.433033972402</v>
      </c>
    </row>
  </sheetData>
  <phoneticPr fontId="0" type="noConversion"/>
  <pageMargins left="0.59" right="0.55000000000000004" top="1" bottom="0.57999999999999996" header="0.5" footer="0.5"/>
  <pageSetup scale="10" orientation="landscape" horizontalDpi="4294967294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4">
    <pageSetUpPr fitToPage="1"/>
  </sheetPr>
  <dimension ref="A1:K30"/>
  <sheetViews>
    <sheetView zoomScale="75" workbookViewId="0">
      <selection activeCell="A29" sqref="A29:B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5.28515625" style="1" customWidth="1"/>
  </cols>
  <sheetData>
    <row r="1" spans="1:11" ht="15.75" x14ac:dyDescent="0.25">
      <c r="A1" s="4" t="str">
        <f>+System!$A$1</f>
        <v>MINNESOTA STATE - F.Y. 2024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95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Table'!B34</f>
        <v>12307494.789999999</v>
      </c>
      <c r="C9" s="1">
        <f>'Master Expend Table'!C34</f>
        <v>0</v>
      </c>
      <c r="D9" s="1">
        <f>'Master Expend Table'!D34</f>
        <v>785694.79</v>
      </c>
      <c r="E9" s="1">
        <f>'Master Expend Table'!E34</f>
        <v>127183.48</v>
      </c>
      <c r="G9" s="1">
        <f>'Master Expend Table'!G34</f>
        <v>3651408.68</v>
      </c>
      <c r="H9" s="1">
        <f>'Master Expend Table'!H34</f>
        <v>4441703.71</v>
      </c>
      <c r="I9" s="1">
        <f>'Master Expend Table'!I34</f>
        <v>5001111.01</v>
      </c>
      <c r="J9" s="1">
        <f>'Master Expend Table'!J34</f>
        <v>2975395.76</v>
      </c>
      <c r="K9" s="1">
        <f>SUM(B9:J9)</f>
        <v>29289992.219999999</v>
      </c>
    </row>
    <row r="11" spans="1:11" x14ac:dyDescent="0.2">
      <c r="A11" t="s">
        <v>3</v>
      </c>
      <c r="B11" s="1">
        <f>(B9/($K9-$J9))*-$J$11</f>
        <v>1391610.4649392022</v>
      </c>
      <c r="C11" s="1">
        <f t="shared" ref="C11:I11" si="0">(C9/($K9-$J9))*-$J$11</f>
        <v>0</v>
      </c>
      <c r="D11" s="1">
        <f t="shared" si="0"/>
        <v>88838.639436239726</v>
      </c>
      <c r="E11" s="1">
        <f t="shared" si="0"/>
        <v>14380.657051278404</v>
      </c>
      <c r="G11" s="1">
        <f t="shared" si="0"/>
        <v>412865.38142486097</v>
      </c>
      <c r="H11" s="1">
        <f t="shared" si="0"/>
        <v>502224.17075630382</v>
      </c>
      <c r="I11" s="1">
        <f t="shared" si="0"/>
        <v>565476.44639211451</v>
      </c>
      <c r="J11" s="1">
        <f>-J9</f>
        <v>-2975395.76</v>
      </c>
      <c r="K11" s="1">
        <v>0</v>
      </c>
    </row>
    <row r="12" spans="1:11" x14ac:dyDescent="0.2">
      <c r="A12" t="s">
        <v>4</v>
      </c>
      <c r="B12" s="1">
        <f>+B9+B11</f>
        <v>13699105.254939202</v>
      </c>
      <c r="C12" s="1">
        <f t="shared" ref="C12:J12" si="1">+C9+C11</f>
        <v>0</v>
      </c>
      <c r="D12" s="1">
        <f t="shared" si="1"/>
        <v>874533.42943623976</v>
      </c>
      <c r="E12" s="1">
        <f t="shared" si="1"/>
        <v>141564.13705127841</v>
      </c>
      <c r="G12" s="1">
        <f t="shared" si="1"/>
        <v>4064274.0614248612</v>
      </c>
      <c r="H12" s="1">
        <f t="shared" si="1"/>
        <v>4943927.8807563037</v>
      </c>
      <c r="I12" s="1">
        <f t="shared" si="1"/>
        <v>5566587.4563921141</v>
      </c>
      <c r="J12" s="1">
        <f t="shared" si="1"/>
        <v>0</v>
      </c>
      <c r="K12" s="1">
        <f>SUM(B12:J12)</f>
        <v>29289992.219999999</v>
      </c>
    </row>
    <row r="14" spans="1:11" x14ac:dyDescent="0.2">
      <c r="A14" t="s">
        <v>5</v>
      </c>
      <c r="B14" s="1">
        <f>B$9/($K$9-$J$9-$I$9)*-I14</f>
        <v>3214431.8337020418</v>
      </c>
      <c r="C14" s="1">
        <f t="shared" ref="C14:H14" si="2">C$9/($K$9-$J$9-$I$9)*-$I$14</f>
        <v>0</v>
      </c>
      <c r="D14" s="1">
        <f t="shared" si="2"/>
        <v>205205.23369239151</v>
      </c>
      <c r="E14" s="1">
        <f t="shared" si="2"/>
        <v>33217.371512940284</v>
      </c>
      <c r="G14" s="1">
        <f t="shared" si="2"/>
        <v>953663.15396571078</v>
      </c>
      <c r="H14" s="1">
        <f t="shared" si="2"/>
        <v>1160069.863519029</v>
      </c>
      <c r="I14" s="1">
        <f>-I12</f>
        <v>-5566587.4563921141</v>
      </c>
      <c r="K14" s="1">
        <v>0</v>
      </c>
    </row>
    <row r="15" spans="1:11" x14ac:dyDescent="0.2">
      <c r="A15" t="s">
        <v>4</v>
      </c>
      <c r="B15" s="1">
        <f>+B12+B14</f>
        <v>16913537.088641245</v>
      </c>
      <c r="C15" s="1">
        <f>+C12+C14</f>
        <v>0</v>
      </c>
      <c r="D15" s="1">
        <f>+D12+D14</f>
        <v>1079738.6631286312</v>
      </c>
      <c r="E15" s="1">
        <f>+E12+E14</f>
        <v>174781.5085642187</v>
      </c>
      <c r="G15" s="1">
        <f>+G12+G14</f>
        <v>5017937.2153905723</v>
      </c>
      <c r="H15" s="1">
        <f>+H12+H14</f>
        <v>6103997.7442753324</v>
      </c>
      <c r="I15" s="1">
        <f>+I12+I14</f>
        <v>0</v>
      </c>
      <c r="J15" s="1">
        <f>+J12+J14</f>
        <v>0</v>
      </c>
      <c r="K15" s="1">
        <f>SUM(B15:J15)</f>
        <v>29289992.219999999</v>
      </c>
    </row>
    <row r="17" spans="1:11" x14ac:dyDescent="0.2">
      <c r="A17" t="s">
        <v>6</v>
      </c>
      <c r="B17" s="1">
        <f>B$9/($K$9-$J$9-$I$9-$H$9)*-$H$17</f>
        <v>4452696.3182396162</v>
      </c>
      <c r="C17" s="1">
        <f>C$9/($K$9-$J$9-$I$9-$H$9)*-$H$17</f>
        <v>0</v>
      </c>
      <c r="D17" s="1">
        <f>D$9/($K$9-$J$9-$I$9-$H$9)*-$H$17</f>
        <v>284254.46107323107</v>
      </c>
      <c r="E17" s="1">
        <f>E$9/($K$9-$J$9-$I$9-$H$9)*-$H$17</f>
        <v>46013.378254446689</v>
      </c>
      <c r="G17" s="1">
        <f>G$9/($K$9-$J$9-$I$9-$H$9)*-$H$17</f>
        <v>1321033.5867080369</v>
      </c>
      <c r="H17" s="1">
        <f>-H15</f>
        <v>-6103997.7442753324</v>
      </c>
      <c r="K17" s="1">
        <v>0</v>
      </c>
    </row>
    <row r="18" spans="1:11" x14ac:dyDescent="0.2">
      <c r="A18" t="s">
        <v>4</v>
      </c>
      <c r="B18" s="1">
        <f>+B15+B17</f>
        <v>21366233.406880863</v>
      </c>
      <c r="C18" s="1">
        <f>+C15+C17</f>
        <v>0</v>
      </c>
      <c r="D18" s="1">
        <f>+D15+D17</f>
        <v>1363993.1242018621</v>
      </c>
      <c r="E18" s="1">
        <f>+E15+E17</f>
        <v>220794.8868186654</v>
      </c>
      <c r="G18" s="1">
        <f>+G15+G17</f>
        <v>6338970.8020986095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29289992.220000003</v>
      </c>
    </row>
    <row r="20" spans="1:11" x14ac:dyDescent="0.2">
      <c r="A20" t="s">
        <v>7</v>
      </c>
      <c r="B20" s="1">
        <f>B$9/($K$9-$J$9-$I$9-$H$9-$G$9)*-$G$20</f>
        <v>5901259.3492418993</v>
      </c>
      <c r="C20" s="1">
        <f>C$9/($K$9-$J$9-$I$9-$H$9-$G$9)*-$G$20</f>
        <v>0</v>
      </c>
      <c r="D20" s="1">
        <f>D$9/($K$9-$J$9-$I$9-$H$9-$G$9)*-$G$20</f>
        <v>376728.87978026527</v>
      </c>
      <c r="E20" s="1">
        <f>E$9/($K$9-$J$9-$I$9-$H$9-$G$9)*-$G$20</f>
        <v>60982.573076443296</v>
      </c>
      <c r="G20" s="1">
        <f>-G18</f>
        <v>-6338970.8020986095</v>
      </c>
      <c r="K20" s="1">
        <f>SUM(B20:J20)</f>
        <v>0</v>
      </c>
    </row>
    <row r="22" spans="1:11" x14ac:dyDescent="0.2">
      <c r="A22" t="s">
        <v>8</v>
      </c>
      <c r="B22" s="1">
        <f>+B20+B18</f>
        <v>27267492.75612276</v>
      </c>
      <c r="C22" s="1">
        <f t="shared" ref="C22:K22" si="3">+C20+C18</f>
        <v>0</v>
      </c>
      <c r="D22" s="1">
        <f t="shared" si="3"/>
        <v>1740722.0039821274</v>
      </c>
      <c r="E22" s="1">
        <f t="shared" si="3"/>
        <v>281777.45989510871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29289992.220000003</v>
      </c>
    </row>
    <row r="27" spans="1:11" x14ac:dyDescent="0.2">
      <c r="A27" t="s">
        <v>9</v>
      </c>
      <c r="B27" s="1">
        <f>+B9</f>
        <v>12307494.789999999</v>
      </c>
    </row>
    <row r="28" spans="1:11" x14ac:dyDescent="0.2">
      <c r="A28" t="s">
        <v>10</v>
      </c>
      <c r="B28" s="1">
        <f>+B22-B27</f>
        <v>14959997.966122761</v>
      </c>
    </row>
    <row r="29" spans="1:11" x14ac:dyDescent="0.2">
      <c r="A29" s="22" t="s">
        <v>106</v>
      </c>
      <c r="B29" s="1">
        <v>2082</v>
      </c>
    </row>
    <row r="30" spans="1:11" x14ac:dyDescent="0.2">
      <c r="A30" t="s">
        <v>11</v>
      </c>
      <c r="B30" s="1">
        <f>+B28/B29</f>
        <v>7185.3976782530071</v>
      </c>
    </row>
  </sheetData>
  <phoneticPr fontId="0" type="noConversion"/>
  <pageMargins left="0.51" right="0.55000000000000004" top="1" bottom="0.56000000000000005" header="0.5" footer="0.5"/>
  <pageSetup scale="10" orientation="landscape" horizontalDpi="4294967294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5">
    <pageSetUpPr fitToPage="1"/>
  </sheetPr>
  <dimension ref="A1:K30"/>
  <sheetViews>
    <sheetView zoomScale="75" workbookViewId="0">
      <selection activeCell="A29" sqref="A29:B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.5703125" style="1" customWidth="1"/>
  </cols>
  <sheetData>
    <row r="1" spans="1:11" ht="15.75" x14ac:dyDescent="0.25">
      <c r="A1" s="4" t="str">
        <f>+System!$A$1</f>
        <v>MINNESOTA STATE - F.Y. 2024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96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Table'!B35</f>
        <v>18833789.710000001</v>
      </c>
      <c r="C9" s="1">
        <f>'Master Expend Table'!C35</f>
        <v>0</v>
      </c>
      <c r="D9" s="1">
        <f>'Master Expend Table'!D35</f>
        <v>238267.86</v>
      </c>
      <c r="E9" s="1">
        <f>'Master Expend Table'!E35</f>
        <v>224561.86</v>
      </c>
      <c r="G9" s="1">
        <f>'Master Expend Table'!G35</f>
        <v>7162133.54</v>
      </c>
      <c r="H9" s="1">
        <f>'Master Expend Table'!H35</f>
        <v>4046275.62</v>
      </c>
      <c r="I9" s="1">
        <f>'Master Expend Table'!I35</f>
        <v>5336182.3099999996</v>
      </c>
      <c r="J9" s="1">
        <f>'Master Expend Table'!J35</f>
        <v>4766911.13</v>
      </c>
      <c r="K9" s="1">
        <f>SUM(B9:J9)</f>
        <v>40608122.030000001</v>
      </c>
    </row>
    <row r="11" spans="1:11" x14ac:dyDescent="0.2">
      <c r="A11" t="s">
        <v>3</v>
      </c>
      <c r="B11" s="1">
        <f>(B9/($K9-$J9))*-$J$11</f>
        <v>2504909.8379842541</v>
      </c>
      <c r="C11" s="1">
        <f t="shared" ref="C11:I11" si="0">(C9/($K9-$J9))*-$J$11</f>
        <v>0</v>
      </c>
      <c r="D11" s="1">
        <f t="shared" si="0"/>
        <v>31689.825350049257</v>
      </c>
      <c r="E11" s="1">
        <f t="shared" si="0"/>
        <v>29866.915847073171</v>
      </c>
      <c r="G11" s="1">
        <f t="shared" si="0"/>
        <v>952569.77175322792</v>
      </c>
      <c r="H11" s="1">
        <f t="shared" si="0"/>
        <v>538158.05336045858</v>
      </c>
      <c r="I11" s="1">
        <f t="shared" si="0"/>
        <v>709716.72570493724</v>
      </c>
      <c r="J11" s="1">
        <f>-J9</f>
        <v>-4766911.13</v>
      </c>
      <c r="K11" s="1">
        <v>0</v>
      </c>
    </row>
    <row r="12" spans="1:11" x14ac:dyDescent="0.2">
      <c r="A12" t="s">
        <v>4</v>
      </c>
      <c r="B12" s="1">
        <f>+B9+B11</f>
        <v>21338699.547984254</v>
      </c>
      <c r="C12" s="1">
        <f t="shared" ref="C12:J12" si="1">+C9+C11</f>
        <v>0</v>
      </c>
      <c r="D12" s="1">
        <f t="shared" si="1"/>
        <v>269957.68535004923</v>
      </c>
      <c r="E12" s="1">
        <f t="shared" si="1"/>
        <v>254428.77584707315</v>
      </c>
      <c r="G12" s="1">
        <f t="shared" si="1"/>
        <v>8114703.3117532283</v>
      </c>
      <c r="H12" s="1">
        <f t="shared" si="1"/>
        <v>4584433.6733604586</v>
      </c>
      <c r="I12" s="1">
        <f t="shared" si="1"/>
        <v>6045899.0357049368</v>
      </c>
      <c r="J12" s="1">
        <f t="shared" si="1"/>
        <v>0</v>
      </c>
      <c r="K12" s="1">
        <f>SUM(B12:J12)</f>
        <v>40608122.030000001</v>
      </c>
    </row>
    <row r="14" spans="1:11" x14ac:dyDescent="0.2">
      <c r="A14" t="s">
        <v>5</v>
      </c>
      <c r="B14" s="1">
        <f>B$9/($K$9-$J$9-$I$9)*-I14</f>
        <v>3732735.103342467</v>
      </c>
      <c r="C14" s="1">
        <f t="shared" ref="C14:H14" si="2">C$9/($K$9-$J$9-$I$9)*-$I$14</f>
        <v>0</v>
      </c>
      <c r="D14" s="1">
        <f t="shared" si="2"/>
        <v>47223.146202384167</v>
      </c>
      <c r="E14" s="1">
        <f t="shared" si="2"/>
        <v>44506.70579850478</v>
      </c>
      <c r="G14" s="1">
        <f t="shared" si="2"/>
        <v>1419488.4668054653</v>
      </c>
      <c r="H14" s="1">
        <f t="shared" si="2"/>
        <v>801945.61355611554</v>
      </c>
      <c r="I14" s="1">
        <f>-I12</f>
        <v>-6045899.0357049368</v>
      </c>
      <c r="K14" s="1">
        <v>0</v>
      </c>
    </row>
    <row r="15" spans="1:11" x14ac:dyDescent="0.2">
      <c r="A15" t="s">
        <v>4</v>
      </c>
      <c r="B15" s="1">
        <f>+B12+B14</f>
        <v>25071434.65132672</v>
      </c>
      <c r="C15" s="1">
        <f>+C12+C14</f>
        <v>0</v>
      </c>
      <c r="D15" s="1">
        <f>+D12+D14</f>
        <v>317180.83155243337</v>
      </c>
      <c r="E15" s="1">
        <f>+E12+E14</f>
        <v>298935.48164557794</v>
      </c>
      <c r="G15" s="1">
        <f>+G12+G14</f>
        <v>9534191.7785586938</v>
      </c>
      <c r="H15" s="1">
        <f>+H12+H14</f>
        <v>5386379.2869165745</v>
      </c>
      <c r="I15" s="1">
        <f>+I12+I14</f>
        <v>0</v>
      </c>
      <c r="J15" s="1">
        <f>+J12+J14</f>
        <v>0</v>
      </c>
      <c r="K15" s="1">
        <f>SUM(B15:J15)</f>
        <v>40608122.030000001</v>
      </c>
    </row>
    <row r="17" spans="1:11" x14ac:dyDescent="0.2">
      <c r="A17" t="s">
        <v>6</v>
      </c>
      <c r="B17" s="1">
        <f>B$9/($K$9-$J$9-$I$9-$H$9)*-$H$17</f>
        <v>3834116.25268621</v>
      </c>
      <c r="C17" s="1">
        <f>C$9/($K$9-$J$9-$I$9-$H$9)*-$H$17</f>
        <v>0</v>
      </c>
      <c r="D17" s="1">
        <f>D$9/($K$9-$J$9-$I$9-$H$9)*-$H$17</f>
        <v>48505.727662112804</v>
      </c>
      <c r="E17" s="1">
        <f>E$9/($K$9-$J$9-$I$9-$H$9)*-$H$17</f>
        <v>45715.508690334907</v>
      </c>
      <c r="G17" s="1">
        <f>G$9/($K$9-$J$9-$I$9-$H$9)*-$H$17</f>
        <v>1458041.7978779173</v>
      </c>
      <c r="H17" s="1">
        <f>-H15</f>
        <v>-5386379.2869165745</v>
      </c>
      <c r="K17" s="1">
        <v>0</v>
      </c>
    </row>
    <row r="18" spans="1:11" x14ac:dyDescent="0.2">
      <c r="A18" t="s">
        <v>4</v>
      </c>
      <c r="B18" s="1">
        <f>+B15+B17</f>
        <v>28905550.90401293</v>
      </c>
      <c r="C18" s="1">
        <f>+C15+C17</f>
        <v>0</v>
      </c>
      <c r="D18" s="1">
        <f>+D15+D17</f>
        <v>365686.55921454617</v>
      </c>
      <c r="E18" s="1">
        <f>+E15+E17</f>
        <v>344650.99033591285</v>
      </c>
      <c r="G18" s="1">
        <f>+G15+G17</f>
        <v>10992233.576436611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40608122.030000001</v>
      </c>
    </row>
    <row r="20" spans="1:11" x14ac:dyDescent="0.2">
      <c r="A20" t="s">
        <v>7</v>
      </c>
      <c r="B20" s="1">
        <f>B$9/($K$9-$J$9-$I$9-$H$9-$G$9)*-$G$20</f>
        <v>10728584.681519439</v>
      </c>
      <c r="C20" s="1">
        <f>C$9/($K$9-$J$9-$I$9-$H$9-$G$9)*-$G$20</f>
        <v>0</v>
      </c>
      <c r="D20" s="1">
        <f>D$9/($K$9-$J$9-$I$9-$H$9-$G$9)*-$G$20</f>
        <v>135728.22847953619</v>
      </c>
      <c r="E20" s="1">
        <f>E$9/($K$9-$J$9-$I$9-$H$9-$G$9)*-$G$20</f>
        <v>127920.66643763712</v>
      </c>
      <c r="G20" s="1">
        <f>-G18</f>
        <v>-10992233.576436611</v>
      </c>
      <c r="K20" s="1">
        <f>SUM(B20:J20)</f>
        <v>0</v>
      </c>
    </row>
    <row r="22" spans="1:11" x14ac:dyDescent="0.2">
      <c r="A22" t="s">
        <v>8</v>
      </c>
      <c r="B22" s="1">
        <f>+B20+B18</f>
        <v>39634135.585532367</v>
      </c>
      <c r="C22" s="1">
        <f t="shared" ref="C22:K22" si="3">+C20+C18</f>
        <v>0</v>
      </c>
      <c r="D22" s="1">
        <f t="shared" si="3"/>
        <v>501414.78769408236</v>
      </c>
      <c r="E22" s="1">
        <f t="shared" si="3"/>
        <v>472571.65677354997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40608122.030000001</v>
      </c>
    </row>
    <row r="27" spans="1:11" x14ac:dyDescent="0.2">
      <c r="A27" t="s">
        <v>9</v>
      </c>
      <c r="B27" s="1">
        <f>+B9</f>
        <v>18833789.710000001</v>
      </c>
    </row>
    <row r="28" spans="1:11" x14ac:dyDescent="0.2">
      <c r="A28" t="s">
        <v>10</v>
      </c>
      <c r="B28" s="1">
        <f>+B22-B27</f>
        <v>20800345.875532366</v>
      </c>
    </row>
    <row r="29" spans="1:11" x14ac:dyDescent="0.2">
      <c r="A29" s="22" t="s">
        <v>106</v>
      </c>
      <c r="B29" s="1">
        <v>3120</v>
      </c>
    </row>
    <row r="30" spans="1:11" x14ac:dyDescent="0.2">
      <c r="A30" t="s">
        <v>11</v>
      </c>
      <c r="B30" s="1">
        <f>+B28/B29</f>
        <v>6666.777524209092</v>
      </c>
    </row>
  </sheetData>
  <phoneticPr fontId="0" type="noConversion"/>
  <pageMargins left="0.63" right="0.55000000000000004" top="1" bottom="0.53" header="0.5" footer="0.5"/>
  <pageSetup scale="10" orientation="landscape" horizontalDpi="4294967294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6">
    <pageSetUpPr fitToPage="1"/>
  </sheetPr>
  <dimension ref="A1:K30"/>
  <sheetViews>
    <sheetView zoomScale="75" workbookViewId="0">
      <selection activeCell="A29" sqref="A29:B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.28515625" style="1" customWidth="1"/>
  </cols>
  <sheetData>
    <row r="1" spans="1:11" ht="15.75" x14ac:dyDescent="0.25">
      <c r="A1" s="4" t="str">
        <f>+System!$A$1</f>
        <v>MINNESOTA STATE - F.Y. 2024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51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Table'!B36</f>
        <v>21533412.440000001</v>
      </c>
      <c r="C9" s="1">
        <f>'Master Expend Table'!C36</f>
        <v>0</v>
      </c>
      <c r="D9" s="1">
        <f>'Master Expend Table'!D36</f>
        <v>1676883.62</v>
      </c>
      <c r="E9" s="1">
        <f>'Master Expend Table'!E36</f>
        <v>0</v>
      </c>
      <c r="G9" s="1">
        <f>'Master Expend Table'!G36</f>
        <v>6504631.1699999999</v>
      </c>
      <c r="H9" s="1">
        <f>'Master Expend Table'!H36</f>
        <v>8424359.5999999996</v>
      </c>
      <c r="I9" s="1">
        <f>'Master Expend Table'!I36</f>
        <v>6290357.29</v>
      </c>
      <c r="J9" s="1">
        <f>'Master Expend Table'!J36</f>
        <v>5380647.1500000004</v>
      </c>
      <c r="K9" s="1">
        <f>SUM(B9:J9)</f>
        <v>49810291.270000003</v>
      </c>
    </row>
    <row r="11" spans="1:11" x14ac:dyDescent="0.2">
      <c r="A11" t="s">
        <v>3</v>
      </c>
      <c r="B11" s="1">
        <f>(B9/($K9-$J9))*-$J$11</f>
        <v>2607801.5381380138</v>
      </c>
      <c r="C11" s="1">
        <f t="shared" ref="C11:I11" si="0">(C9/($K9-$J9))*-$J$11</f>
        <v>0</v>
      </c>
      <c r="D11" s="1">
        <f t="shared" si="0"/>
        <v>203078.80581859325</v>
      </c>
      <c r="E11" s="1">
        <f t="shared" si="0"/>
        <v>0</v>
      </c>
      <c r="G11" s="1">
        <f t="shared" si="0"/>
        <v>787742.64029962849</v>
      </c>
      <c r="H11" s="1">
        <f t="shared" si="0"/>
        <v>1020231.1400444127</v>
      </c>
      <c r="I11" s="1">
        <f t="shared" si="0"/>
        <v>761793.02569935191</v>
      </c>
      <c r="J11" s="1">
        <f>-J9</f>
        <v>-5380647.1500000004</v>
      </c>
      <c r="K11" s="1">
        <v>0</v>
      </c>
    </row>
    <row r="12" spans="1:11" x14ac:dyDescent="0.2">
      <c r="A12" t="s">
        <v>4</v>
      </c>
      <c r="B12" s="1">
        <f>+B9+B11</f>
        <v>24141213.978138015</v>
      </c>
      <c r="C12" s="1">
        <f t="shared" ref="C12:J12" si="1">+C9+C11</f>
        <v>0</v>
      </c>
      <c r="D12" s="1">
        <f t="shared" si="1"/>
        <v>1879962.4258185932</v>
      </c>
      <c r="E12" s="1">
        <f t="shared" si="1"/>
        <v>0</v>
      </c>
      <c r="G12" s="1">
        <f t="shared" si="1"/>
        <v>7292373.8102996284</v>
      </c>
      <c r="H12" s="1">
        <f t="shared" si="1"/>
        <v>9444590.7400444131</v>
      </c>
      <c r="I12" s="1">
        <f t="shared" si="1"/>
        <v>7052150.315699352</v>
      </c>
      <c r="J12" s="1">
        <f t="shared" si="1"/>
        <v>0</v>
      </c>
      <c r="K12" s="1">
        <f>SUM(B12:J12)</f>
        <v>49810291.270000003</v>
      </c>
    </row>
    <row r="14" spans="1:11" x14ac:dyDescent="0.2">
      <c r="A14" t="s">
        <v>5</v>
      </c>
      <c r="B14" s="1">
        <f>B$9/($K$9-$J$9-$I$9)*-I14</f>
        <v>3981638.7237052675</v>
      </c>
      <c r="C14" s="1">
        <f t="shared" ref="C14:H14" si="2">C$9/($K$9-$J$9-$I$9)*-$I$14</f>
        <v>0</v>
      </c>
      <c r="D14" s="1">
        <f t="shared" si="2"/>
        <v>310064.40689059079</v>
      </c>
      <c r="E14" s="1">
        <f t="shared" si="2"/>
        <v>0</v>
      </c>
      <c r="G14" s="1">
        <f t="shared" si="2"/>
        <v>1202739.7618494835</v>
      </c>
      <c r="H14" s="1">
        <f t="shared" si="2"/>
        <v>1557707.4232540089</v>
      </c>
      <c r="I14" s="1">
        <f>-I12</f>
        <v>-7052150.315699352</v>
      </c>
      <c r="K14" s="1">
        <v>0</v>
      </c>
    </row>
    <row r="15" spans="1:11" x14ac:dyDescent="0.2">
      <c r="A15" t="s">
        <v>4</v>
      </c>
      <c r="B15" s="1">
        <f>+B12+B14</f>
        <v>28122852.701843284</v>
      </c>
      <c r="C15" s="1">
        <f>+C12+C14</f>
        <v>0</v>
      </c>
      <c r="D15" s="1">
        <f>+D12+D14</f>
        <v>2190026.8327091839</v>
      </c>
      <c r="E15" s="1">
        <f>+E12+E14</f>
        <v>0</v>
      </c>
      <c r="G15" s="1">
        <f>+G12+G14</f>
        <v>8495113.5721491128</v>
      </c>
      <c r="H15" s="1">
        <f>+H12+H14</f>
        <v>11002298.163298422</v>
      </c>
      <c r="I15" s="1">
        <f>+I12+I14</f>
        <v>0</v>
      </c>
      <c r="J15" s="1">
        <f>+J12+J14</f>
        <v>0</v>
      </c>
      <c r="K15" s="1">
        <f>SUM(B15:J15)</f>
        <v>49810291.270000003</v>
      </c>
    </row>
    <row r="17" spans="1:11" x14ac:dyDescent="0.2">
      <c r="A17" t="s">
        <v>6</v>
      </c>
      <c r="B17" s="1">
        <f>B$9/($K$9-$J$9-$I$9-$H$9)*-$H$17</f>
        <v>7972996.9487850359</v>
      </c>
      <c r="C17" s="1">
        <f>C$9/($K$9-$J$9-$I$9-$H$9)*-$H$17</f>
        <v>0</v>
      </c>
      <c r="D17" s="1">
        <f>D$9/($K$9-$J$9-$I$9-$H$9)*-$H$17</f>
        <v>620885.70601527975</v>
      </c>
      <c r="E17" s="1">
        <f>E$9/($K$9-$J$9-$I$9-$H$9)*-$H$17</f>
        <v>0</v>
      </c>
      <c r="G17" s="1">
        <f>G$9/($K$9-$J$9-$I$9-$H$9)*-$H$17</f>
        <v>2408415.5084981057</v>
      </c>
      <c r="H17" s="1">
        <f>-H15</f>
        <v>-11002298.163298422</v>
      </c>
      <c r="K17" s="1">
        <v>0</v>
      </c>
    </row>
    <row r="18" spans="1:11" x14ac:dyDescent="0.2">
      <c r="A18" t="s">
        <v>4</v>
      </c>
      <c r="B18" s="1">
        <f>+B15+B17</f>
        <v>36095849.650628321</v>
      </c>
      <c r="C18" s="1">
        <f>+C15+C17</f>
        <v>0</v>
      </c>
      <c r="D18" s="1">
        <f>+D15+D17</f>
        <v>2810912.5387244634</v>
      </c>
      <c r="E18" s="1">
        <f>+E15+E17</f>
        <v>0</v>
      </c>
      <c r="G18" s="1">
        <f>+G15+G17</f>
        <v>10903529.080647219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49810291.269999996</v>
      </c>
    </row>
    <row r="20" spans="1:11" x14ac:dyDescent="0.2">
      <c r="A20" t="s">
        <v>7</v>
      </c>
      <c r="B20" s="1">
        <f>B$9/($K$9-$J$9-$I$9-$H$9-$G$9)*-$G$20</f>
        <v>10115777.417839218</v>
      </c>
      <c r="C20" s="1">
        <f>C$9/($K$9-$J$9-$I$9-$H$9-$G$9)*-$G$20</f>
        <v>0</v>
      </c>
      <c r="D20" s="1">
        <f>D$9/($K$9-$J$9-$I$9-$H$9-$G$9)*-$G$20</f>
        <v>787751.66280800046</v>
      </c>
      <c r="E20" s="1">
        <f>E$9/($K$9-$J$9-$I$9-$H$9-$G$9)*-$G$20</f>
        <v>0</v>
      </c>
      <c r="G20" s="1">
        <f>-G18</f>
        <v>-10903529.080647219</v>
      </c>
      <c r="K20" s="1">
        <f>SUM(B20:J20)</f>
        <v>0</v>
      </c>
    </row>
    <row r="22" spans="1:11" x14ac:dyDescent="0.2">
      <c r="A22" t="s">
        <v>8</v>
      </c>
      <c r="B22" s="1">
        <f>+B20+B18</f>
        <v>46211627.068467543</v>
      </c>
      <c r="C22" s="1">
        <f t="shared" ref="C22:K22" si="3">+C20+C18</f>
        <v>0</v>
      </c>
      <c r="D22" s="1">
        <f t="shared" si="3"/>
        <v>3598664.201532464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49810291.269999996</v>
      </c>
    </row>
    <row r="27" spans="1:11" x14ac:dyDescent="0.2">
      <c r="A27" t="s">
        <v>9</v>
      </c>
      <c r="B27" s="1">
        <f>+B9</f>
        <v>21533412.440000001</v>
      </c>
    </row>
    <row r="28" spans="1:11" x14ac:dyDescent="0.2">
      <c r="A28" t="s">
        <v>10</v>
      </c>
      <c r="B28" s="1">
        <f>+B22-B27</f>
        <v>24678214.628467541</v>
      </c>
    </row>
    <row r="29" spans="1:11" x14ac:dyDescent="0.2">
      <c r="A29" s="22" t="s">
        <v>106</v>
      </c>
      <c r="B29" s="1">
        <v>2574</v>
      </c>
    </row>
    <row r="30" spans="1:11" x14ac:dyDescent="0.2">
      <c r="A30" t="s">
        <v>11</v>
      </c>
      <c r="B30" s="1">
        <f>+B28/B29</f>
        <v>9587.495970655611</v>
      </c>
    </row>
  </sheetData>
  <phoneticPr fontId="0" type="noConversion"/>
  <pageMargins left="0.56000000000000005" right="0.55000000000000004" top="1" bottom="0.53" header="0.5" footer="0.5"/>
  <pageSetup scale="10" orientation="landscape" horizontalDpi="4294967294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7">
    <pageSetUpPr fitToPage="1"/>
  </sheetPr>
  <dimension ref="A1:K30"/>
  <sheetViews>
    <sheetView zoomScale="75" workbookViewId="0">
      <selection activeCell="A29" sqref="A29:B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3.7109375" style="1" customWidth="1"/>
  </cols>
  <sheetData>
    <row r="1" spans="1:11" ht="15.75" x14ac:dyDescent="0.25">
      <c r="A1" s="4" t="str">
        <f>+System!$A$1</f>
        <v>MINNESOTA STATE - F.Y. 2024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59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Table'!B37</f>
        <v>13259285.449999999</v>
      </c>
      <c r="C9" s="1">
        <f>'Master Expend Table'!C37</f>
        <v>0</v>
      </c>
      <c r="D9" s="1">
        <f>'Master Expend Table'!D37</f>
        <v>1675172.5</v>
      </c>
      <c r="E9" s="1">
        <f>'Master Expend Table'!E37</f>
        <v>166713.04</v>
      </c>
      <c r="G9" s="1">
        <f>'Master Expend Table'!G37</f>
        <v>3565463.7</v>
      </c>
      <c r="H9" s="1">
        <f>'Master Expend Table'!H37</f>
        <v>4373590.3099999996</v>
      </c>
      <c r="I9" s="1">
        <f>'Master Expend Table'!I37</f>
        <v>4969862.2699999996</v>
      </c>
      <c r="J9" s="1">
        <f>'Master Expend Table'!J37</f>
        <v>2565736.4300000002</v>
      </c>
      <c r="K9" s="1">
        <f>SUM(B9:J9)</f>
        <v>30575823.699999996</v>
      </c>
    </row>
    <row r="11" spans="1:11" x14ac:dyDescent="0.2">
      <c r="A11" t="s">
        <v>3</v>
      </c>
      <c r="B11" s="1">
        <f>(B9/($K9-$J9))*-$J$11</f>
        <v>1214556.4341483021</v>
      </c>
      <c r="C11" s="1">
        <f t="shared" ref="C11:I11" si="0">(C9/($K9-$J9))*-$J$11</f>
        <v>0</v>
      </c>
      <c r="D11" s="1">
        <f t="shared" si="0"/>
        <v>153446.54475202481</v>
      </c>
      <c r="E11" s="1">
        <f t="shared" si="0"/>
        <v>15270.988482145038</v>
      </c>
      <c r="G11" s="1">
        <f t="shared" si="0"/>
        <v>326598.05793359794</v>
      </c>
      <c r="H11" s="1">
        <f t="shared" si="0"/>
        <v>400622.81420596212</v>
      </c>
      <c r="I11" s="1">
        <f t="shared" si="0"/>
        <v>455241.59047796851</v>
      </c>
      <c r="J11" s="1">
        <f>-J9</f>
        <v>-2565736.4300000002</v>
      </c>
      <c r="K11" s="1">
        <v>0</v>
      </c>
    </row>
    <row r="12" spans="1:11" x14ac:dyDescent="0.2">
      <c r="A12" t="s">
        <v>4</v>
      </c>
      <c r="B12" s="1">
        <f>+B9+B11</f>
        <v>14473841.884148302</v>
      </c>
      <c r="C12" s="1">
        <f t="shared" ref="C12:J12" si="1">+C9+C11</f>
        <v>0</v>
      </c>
      <c r="D12" s="1">
        <f t="shared" si="1"/>
        <v>1828619.0447520248</v>
      </c>
      <c r="E12" s="1">
        <f t="shared" si="1"/>
        <v>181984.02848214505</v>
      </c>
      <c r="G12" s="1">
        <f t="shared" si="1"/>
        <v>3892061.757933598</v>
      </c>
      <c r="H12" s="1">
        <f t="shared" si="1"/>
        <v>4774213.1242059618</v>
      </c>
      <c r="I12" s="1">
        <f t="shared" si="1"/>
        <v>5425103.8604779681</v>
      </c>
      <c r="J12" s="1">
        <f t="shared" si="1"/>
        <v>0</v>
      </c>
      <c r="K12" s="1">
        <f>SUM(B12:J12)</f>
        <v>30575823.699999999</v>
      </c>
    </row>
    <row r="14" spans="1:11" x14ac:dyDescent="0.2">
      <c r="A14" t="s">
        <v>5</v>
      </c>
      <c r="B14" s="1">
        <f>B$9/($K$9-$J$9-$I$9)*-I14</f>
        <v>3122061.5546061015</v>
      </c>
      <c r="C14" s="1">
        <f t="shared" ref="C14:H14" si="2">C$9/($K$9-$J$9-$I$9)*-$I$14</f>
        <v>0</v>
      </c>
      <c r="D14" s="1">
        <f t="shared" si="2"/>
        <v>394439.93262724346</v>
      </c>
      <c r="E14" s="1">
        <f t="shared" si="2"/>
        <v>39254.63214426153</v>
      </c>
      <c r="G14" s="1">
        <f t="shared" si="2"/>
        <v>839532.20436276402</v>
      </c>
      <c r="H14" s="1">
        <f t="shared" si="2"/>
        <v>1029815.5367375985</v>
      </c>
      <c r="I14" s="1">
        <f>-I12</f>
        <v>-5425103.8604779681</v>
      </c>
      <c r="K14" s="1">
        <v>0</v>
      </c>
    </row>
    <row r="15" spans="1:11" x14ac:dyDescent="0.2">
      <c r="A15" t="s">
        <v>4</v>
      </c>
      <c r="B15" s="1">
        <f>+B12+B14</f>
        <v>17595903.438754402</v>
      </c>
      <c r="C15" s="1">
        <f>+C12+C14</f>
        <v>0</v>
      </c>
      <c r="D15" s="1">
        <f>+D12+D14</f>
        <v>2223058.977379268</v>
      </c>
      <c r="E15" s="1">
        <f>+E12+E14</f>
        <v>221238.66062640658</v>
      </c>
      <c r="G15" s="1">
        <f>+G12+G14</f>
        <v>4731593.962296362</v>
      </c>
      <c r="H15" s="1">
        <f>+H12+H14</f>
        <v>5804028.6609435603</v>
      </c>
      <c r="I15" s="1">
        <f>+I12+I14</f>
        <v>0</v>
      </c>
      <c r="J15" s="1">
        <f>+J12+J14</f>
        <v>0</v>
      </c>
      <c r="K15" s="1">
        <f>SUM(B15:J15)</f>
        <v>30575823.700000003</v>
      </c>
    </row>
    <row r="17" spans="1:11" x14ac:dyDescent="0.2">
      <c r="A17" t="s">
        <v>6</v>
      </c>
      <c r="B17" s="1">
        <f>B$9/($K$9-$J$9-$I$9-$H$9)*-$H$17</f>
        <v>4122718.1039043488</v>
      </c>
      <c r="C17" s="1">
        <f>C$9/($K$9-$J$9-$I$9-$H$9)*-$H$17</f>
        <v>0</v>
      </c>
      <c r="D17" s="1">
        <f>D$9/($K$9-$J$9-$I$9-$H$9)*-$H$17</f>
        <v>520862.45665015891</v>
      </c>
      <c r="E17" s="1">
        <f>E$9/($K$9-$J$9-$I$9-$H$9)*-$H$17</f>
        <v>51836.192135446479</v>
      </c>
      <c r="G17" s="1">
        <f>G$9/($K$9-$J$9-$I$9-$H$9)*-$H$17</f>
        <v>1108611.9082536069</v>
      </c>
      <c r="H17" s="1">
        <f>-H15</f>
        <v>-5804028.6609435603</v>
      </c>
      <c r="K17" s="1">
        <v>0</v>
      </c>
    </row>
    <row r="18" spans="1:11" x14ac:dyDescent="0.2">
      <c r="A18" t="s">
        <v>4</v>
      </c>
      <c r="B18" s="1">
        <f>+B15+B17</f>
        <v>21718621.54265875</v>
      </c>
      <c r="C18" s="1">
        <f>+C15+C17</f>
        <v>0</v>
      </c>
      <c r="D18" s="1">
        <f>+D15+D17</f>
        <v>2743921.4340294269</v>
      </c>
      <c r="E18" s="1">
        <f>+E15+E17</f>
        <v>273074.85276185308</v>
      </c>
      <c r="G18" s="1">
        <f>+G15+G17</f>
        <v>5840205.8705499694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30575823.699999999</v>
      </c>
    </row>
    <row r="20" spans="1:11" x14ac:dyDescent="0.2">
      <c r="A20" t="s">
        <v>7</v>
      </c>
      <c r="B20" s="1">
        <f>B$9/($K$9-$J$9-$I$9-$H$9-$G$9)*-$G$20</f>
        <v>5127877.617945428</v>
      </c>
      <c r="C20" s="1">
        <f>C$9/($K$9-$J$9-$I$9-$H$9-$G$9)*-$G$20</f>
        <v>0</v>
      </c>
      <c r="D20" s="1">
        <f>D$9/($K$9-$J$9-$I$9-$H$9-$G$9)*-$G$20</f>
        <v>647853.88332880998</v>
      </c>
      <c r="E20" s="1">
        <f>E$9/($K$9-$J$9-$I$9-$H$9-$G$9)*-$G$20</f>
        <v>64474.369275732039</v>
      </c>
      <c r="G20" s="1">
        <f>-G18</f>
        <v>-5840205.8705499694</v>
      </c>
      <c r="K20" s="1">
        <f>SUM(B20:J20)</f>
        <v>0</v>
      </c>
    </row>
    <row r="22" spans="1:11" x14ac:dyDescent="0.2">
      <c r="A22" t="s">
        <v>8</v>
      </c>
      <c r="B22" s="1">
        <f>+B20+B18</f>
        <v>26846499.160604179</v>
      </c>
      <c r="C22" s="1">
        <f t="shared" ref="C22:K22" si="3">+C20+C18</f>
        <v>0</v>
      </c>
      <c r="D22" s="1">
        <f t="shared" si="3"/>
        <v>3391775.3173582368</v>
      </c>
      <c r="E22" s="1">
        <f t="shared" si="3"/>
        <v>337549.2220375851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30575823.699999999</v>
      </c>
    </row>
    <row r="27" spans="1:11" x14ac:dyDescent="0.2">
      <c r="A27" t="s">
        <v>9</v>
      </c>
      <c r="B27" s="1">
        <f>+B9</f>
        <v>13259285.449999999</v>
      </c>
    </row>
    <row r="28" spans="1:11" x14ac:dyDescent="0.2">
      <c r="A28" t="s">
        <v>10</v>
      </c>
      <c r="B28" s="1">
        <f>+B22-B27</f>
        <v>13587213.71060418</v>
      </c>
    </row>
    <row r="29" spans="1:11" x14ac:dyDescent="0.2">
      <c r="A29" s="22" t="s">
        <v>106</v>
      </c>
      <c r="B29" s="1">
        <v>1860</v>
      </c>
    </row>
    <row r="30" spans="1:11" x14ac:dyDescent="0.2">
      <c r="A30" t="s">
        <v>11</v>
      </c>
      <c r="B30" s="1">
        <f>+B28/B29</f>
        <v>7304.9536078517094</v>
      </c>
    </row>
  </sheetData>
  <phoneticPr fontId="0" type="noConversion"/>
  <pageMargins left="0.61" right="0.55000000000000004" top="1" bottom="0.56000000000000005" header="0.5" footer="0.5"/>
  <pageSetup scale="10" orientation="landscape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0"/>
  <sheetViews>
    <sheetView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9.28515625" style="1" customWidth="1"/>
    <col min="6" max="6" width="2.7109375" style="1" customWidth="1"/>
    <col min="7" max="7" width="11.28515625" style="1" bestFit="1" customWidth="1"/>
    <col min="8" max="8" width="10.28515625" style="1" customWidth="1"/>
    <col min="9" max="9" width="11.28515625" style="1" bestFit="1" customWidth="1"/>
    <col min="10" max="10" width="10.28515625" style="1" customWidth="1"/>
    <col min="11" max="11" width="10.7109375" style="1" customWidth="1"/>
  </cols>
  <sheetData>
    <row r="1" spans="1:11" ht="15.75" x14ac:dyDescent="0.25">
      <c r="A1" s="4" t="str">
        <f>+System!$A$1</f>
        <v>MINNESOTA STATE - F.Y. 2024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64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Table'!B7</f>
        <v>35167983.469999999</v>
      </c>
      <c r="C9" s="1">
        <f>'Master Expend Table'!C7</f>
        <v>42699.23</v>
      </c>
      <c r="D9" s="1">
        <f>'Master Expend Table'!D7</f>
        <v>1049531.44</v>
      </c>
      <c r="E9" s="1">
        <f>'Master Expend Table'!E7</f>
        <v>279009.39</v>
      </c>
      <c r="G9" s="1">
        <f>'Master Expend Table'!G7</f>
        <v>11076123.59</v>
      </c>
      <c r="H9" s="1">
        <f>'Master Expend Table'!H7</f>
        <v>8006534.2200000007</v>
      </c>
      <c r="I9" s="1">
        <f>'Master Expend Table'!I7</f>
        <v>9534629.6300000008</v>
      </c>
      <c r="J9" s="1">
        <f>'Master Expend Table'!J7</f>
        <v>7475955.7400000002</v>
      </c>
      <c r="K9" s="1">
        <f>SUM(B9:J9)</f>
        <v>72632466.709999993</v>
      </c>
    </row>
    <row r="11" spans="1:11" x14ac:dyDescent="0.2">
      <c r="A11" t="s">
        <v>3</v>
      </c>
      <c r="B11" s="1">
        <f>(B9/($K9-$J9))*-$J$11</f>
        <v>4035119.1918153078</v>
      </c>
      <c r="C11" s="1">
        <f t="shared" ref="C11:I11" si="0">(C9/($K9-$J9))*-$J$11</f>
        <v>4899.2425907989082</v>
      </c>
      <c r="D11" s="1">
        <f t="shared" si="0"/>
        <v>120421.58913007351</v>
      </c>
      <c r="E11" s="1">
        <f t="shared" si="0"/>
        <v>32013.099222651625</v>
      </c>
      <c r="G11" s="1">
        <f t="shared" si="0"/>
        <v>1270857.0255969602</v>
      </c>
      <c r="H11" s="1">
        <f t="shared" si="0"/>
        <v>918657.16209198418</v>
      </c>
      <c r="I11" s="1">
        <f t="shared" si="0"/>
        <v>1093988.4295522247</v>
      </c>
      <c r="J11" s="1">
        <f>-J9</f>
        <v>-7475955.7400000002</v>
      </c>
      <c r="K11" s="1">
        <v>0</v>
      </c>
    </row>
    <row r="12" spans="1:11" x14ac:dyDescent="0.2">
      <c r="A12" t="s">
        <v>4</v>
      </c>
      <c r="B12" s="1">
        <f>+B9+B11</f>
        <v>39203102.661815308</v>
      </c>
      <c r="C12" s="1">
        <f t="shared" ref="C12:J12" si="1">+C9+C11</f>
        <v>47598.472590798912</v>
      </c>
      <c r="D12" s="1">
        <f t="shared" si="1"/>
        <v>1169953.0291300735</v>
      </c>
      <c r="E12" s="1">
        <f t="shared" si="1"/>
        <v>311022.48922265164</v>
      </c>
      <c r="G12" s="1">
        <f t="shared" si="1"/>
        <v>12346980.615596959</v>
      </c>
      <c r="H12" s="1">
        <f t="shared" si="1"/>
        <v>8925191.3820919842</v>
      </c>
      <c r="I12" s="1">
        <f t="shared" si="1"/>
        <v>10628618.059552226</v>
      </c>
      <c r="J12" s="1">
        <f t="shared" si="1"/>
        <v>0</v>
      </c>
      <c r="K12" s="1">
        <f>SUM(B12:J12)</f>
        <v>72632466.709999993</v>
      </c>
    </row>
    <row r="14" spans="1:11" x14ac:dyDescent="0.2">
      <c r="A14" t="s">
        <v>5</v>
      </c>
      <c r="B14" s="1">
        <f>B$9/($K$9-$J$9-$I$9)*-I14</f>
        <v>6720144.217029036</v>
      </c>
      <c r="C14" s="1">
        <f t="shared" ref="C14:H14" si="2">C$9/($K$9-$J$9-$I$9)*-$I$14</f>
        <v>8159.2674712461339</v>
      </c>
      <c r="D14" s="1">
        <f t="shared" si="2"/>
        <v>200551.80710383097</v>
      </c>
      <c r="E14" s="1">
        <f t="shared" si="2"/>
        <v>53315.065400458661</v>
      </c>
      <c r="G14" s="1">
        <f t="shared" si="2"/>
        <v>2116503.1527591702</v>
      </c>
      <c r="H14" s="1">
        <f t="shared" si="2"/>
        <v>1529944.5497884867</v>
      </c>
      <c r="I14" s="1">
        <f>-I12</f>
        <v>-10628618.059552226</v>
      </c>
      <c r="K14" s="1">
        <v>0</v>
      </c>
    </row>
    <row r="15" spans="1:11" x14ac:dyDescent="0.2">
      <c r="A15" t="s">
        <v>4</v>
      </c>
      <c r="B15" s="1">
        <f>+B12+B14</f>
        <v>45923246.878844343</v>
      </c>
      <c r="C15" s="1">
        <f>+C12+C14</f>
        <v>55757.74006204505</v>
      </c>
      <c r="D15" s="1">
        <f>+D12+D14</f>
        <v>1370504.8362339046</v>
      </c>
      <c r="E15" s="1">
        <f>+E12+E14</f>
        <v>364337.55462311028</v>
      </c>
      <c r="G15" s="1">
        <f>+G12+G14</f>
        <v>14463483.76835613</v>
      </c>
      <c r="H15" s="1">
        <f>+H12+H14</f>
        <v>10455135.93188047</v>
      </c>
      <c r="I15" s="1">
        <f>+I12+I14</f>
        <v>0</v>
      </c>
      <c r="J15" s="1">
        <f>+J12+J14</f>
        <v>0</v>
      </c>
      <c r="K15" s="1">
        <f>SUM(B15:J15)</f>
        <v>72632466.710000008</v>
      </c>
    </row>
    <row r="17" spans="1:11" x14ac:dyDescent="0.2">
      <c r="A17" t="s">
        <v>6</v>
      </c>
      <c r="B17" s="1">
        <f>B$9/($K$9-$J$9-$I$9-$H$9)*-$H$17</f>
        <v>7722007.0810853206</v>
      </c>
      <c r="C17" s="1">
        <f>C$9/($K$9-$J$9-$I$9-$H$9)*-$H$17</f>
        <v>9375.6799191560458</v>
      </c>
      <c r="D17" s="1">
        <f>D$9/($K$9-$J$9-$I$9-$H$9)*-$H$17</f>
        <v>230450.77971033499</v>
      </c>
      <c r="E17" s="1">
        <f>E$9/($K$9-$J$9-$I$9-$H$9)*-$H$17</f>
        <v>61263.463886327168</v>
      </c>
      <c r="G17" s="1">
        <f>G$9/($K$9-$J$9-$I$9-$H$9)*-$H$17</f>
        <v>2432038.927279334</v>
      </c>
      <c r="H17" s="1">
        <f>-H15</f>
        <v>-10455135.93188047</v>
      </c>
      <c r="K17" s="1">
        <v>0</v>
      </c>
    </row>
    <row r="18" spans="1:11" x14ac:dyDescent="0.2">
      <c r="A18" t="s">
        <v>4</v>
      </c>
      <c r="B18" s="1">
        <f>+B15+B17</f>
        <v>53645253.95992966</v>
      </c>
      <c r="C18" s="1">
        <f>+C15+C17</f>
        <v>65133.419981201092</v>
      </c>
      <c r="D18" s="1">
        <f>+D15+D17</f>
        <v>1600955.6159442395</v>
      </c>
      <c r="E18" s="1">
        <f>+E15+E17</f>
        <v>425601.01850943745</v>
      </c>
      <c r="G18" s="1">
        <f>+G15+G17</f>
        <v>16895522.695635464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72632466.710000008</v>
      </c>
    </row>
    <row r="20" spans="1:11" x14ac:dyDescent="0.2">
      <c r="A20" t="s">
        <v>7</v>
      </c>
      <c r="B20" s="1">
        <f>B$9/($K$9-$J$9-$I$9-$H$9-$G$9)*-$G$20</f>
        <v>16261469.332791761</v>
      </c>
      <c r="C20" s="1">
        <f>C$9/($K$9-$J$9-$I$9-$H$9-$G$9)*-$G$20</f>
        <v>19743.873565316539</v>
      </c>
      <c r="D20" s="1">
        <f>D$9/($K$9-$J$9-$I$9-$H$9-$G$9)*-$G$20</f>
        <v>485297.18344299408</v>
      </c>
      <c r="E20" s="1">
        <f>E$9/($K$9-$J$9-$I$9-$H$9-$G$9)*-$G$20</f>
        <v>129012.30583540011</v>
      </c>
      <c r="G20" s="1">
        <f>-G18</f>
        <v>-16895522.695635464</v>
      </c>
      <c r="K20" s="1">
        <f>SUM(B20:J20)</f>
        <v>0</v>
      </c>
    </row>
    <row r="22" spans="1:11" x14ac:dyDescent="0.2">
      <c r="A22" t="s">
        <v>8</v>
      </c>
      <c r="B22" s="1">
        <f>+B20+B18</f>
        <v>69906723.292721421</v>
      </c>
      <c r="C22" s="1">
        <f t="shared" ref="C22:K22" si="3">+C20+C18</f>
        <v>84877.293546517627</v>
      </c>
      <c r="D22" s="1">
        <f t="shared" si="3"/>
        <v>2086252.7993872336</v>
      </c>
      <c r="E22" s="1">
        <f t="shared" si="3"/>
        <v>554613.32434483757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72632466.710000008</v>
      </c>
    </row>
    <row r="27" spans="1:11" x14ac:dyDescent="0.2">
      <c r="A27" t="s">
        <v>9</v>
      </c>
      <c r="B27" s="1">
        <f>+B9</f>
        <v>35167983.469999999</v>
      </c>
    </row>
    <row r="28" spans="1:11" x14ac:dyDescent="0.2">
      <c r="A28" t="s">
        <v>10</v>
      </c>
      <c r="B28" s="1">
        <f>+B22-B27</f>
        <v>34738739.822721422</v>
      </c>
    </row>
    <row r="29" spans="1:11" x14ac:dyDescent="0.2">
      <c r="A29" s="22" t="s">
        <v>106</v>
      </c>
      <c r="B29" s="1">
        <f>'ANOKARAM CC'!B29+'ANOKA TC'!B29</f>
        <v>5993</v>
      </c>
    </row>
    <row r="30" spans="1:11" x14ac:dyDescent="0.2">
      <c r="A30" t="s">
        <v>11</v>
      </c>
      <c r="B30" s="1">
        <f>+B28/B29</f>
        <v>5796.5526151712702</v>
      </c>
    </row>
  </sheetData>
  <pageMargins left="0.7" right="0.7" top="0.75" bottom="0.75" header="0.3" footer="0.3"/>
  <pageSetup scale="97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38">
    <pageSetUpPr fitToPage="1"/>
  </sheetPr>
  <dimension ref="A1:K30"/>
  <sheetViews>
    <sheetView zoomScale="75" workbookViewId="0">
      <selection activeCell="A29" sqref="A29:B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3.7109375" style="1" customWidth="1"/>
  </cols>
  <sheetData>
    <row r="1" spans="1:11" ht="15.75" x14ac:dyDescent="0.25">
      <c r="A1" s="4" t="str">
        <f>+System!$A$1</f>
        <v>MINNESOTA STATE - F.Y. 2024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50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Table'!B38</f>
        <v>19000628.5</v>
      </c>
      <c r="C9" s="1">
        <f>'Master Expend Table'!C38</f>
        <v>71317.19</v>
      </c>
      <c r="D9" s="1">
        <f>'Master Expend Table'!D38</f>
        <v>87372.88</v>
      </c>
      <c r="E9" s="1">
        <f>'Master Expend Table'!E38</f>
        <v>4022582.34</v>
      </c>
      <c r="G9" s="1">
        <f>'Master Expend Table'!G38</f>
        <v>6290794.0300000003</v>
      </c>
      <c r="H9" s="1">
        <f>'Master Expend Table'!H38</f>
        <v>7525611.21</v>
      </c>
      <c r="I9" s="1">
        <f>'Master Expend Table'!I38</f>
        <v>7413077.2400000002</v>
      </c>
      <c r="J9" s="1">
        <f>'Master Expend Table'!J38</f>
        <v>4463357.79</v>
      </c>
      <c r="K9" s="1">
        <f>SUM(B9:J9)</f>
        <v>48874741.18</v>
      </c>
    </row>
    <row r="11" spans="1:11" x14ac:dyDescent="0.2">
      <c r="A11" t="s">
        <v>3</v>
      </c>
      <c r="B11" s="1">
        <f>(B9/($K9-$J9))*-$J$11</f>
        <v>1909569.0509264052</v>
      </c>
      <c r="C11" s="1">
        <f t="shared" ref="C11:I11" si="0">(C9/($K9-$J9))*-$J$11</f>
        <v>7167.3996901227829</v>
      </c>
      <c r="D11" s="1">
        <f t="shared" si="0"/>
        <v>8781.0015094135797</v>
      </c>
      <c r="E11" s="1">
        <f t="shared" si="0"/>
        <v>404270.77142564615</v>
      </c>
      <c r="G11" s="1">
        <f t="shared" si="0"/>
        <v>632226.74899625534</v>
      </c>
      <c r="H11" s="1">
        <f t="shared" si="0"/>
        <v>756326.2581509247</v>
      </c>
      <c r="I11" s="1">
        <f t="shared" si="0"/>
        <v>745016.55930123234</v>
      </c>
      <c r="J11" s="1">
        <f>-J9</f>
        <v>-4463357.79</v>
      </c>
      <c r="K11" s="1">
        <v>0</v>
      </c>
    </row>
    <row r="12" spans="1:11" x14ac:dyDescent="0.2">
      <c r="A12" t="s">
        <v>4</v>
      </c>
      <c r="B12" s="1">
        <f>+B9+B11</f>
        <v>20910197.550926406</v>
      </c>
      <c r="C12" s="1">
        <f t="shared" ref="C12:J12" si="1">+C9+C11</f>
        <v>78484.589690122782</v>
      </c>
      <c r="D12" s="1">
        <f t="shared" si="1"/>
        <v>96153.881509413579</v>
      </c>
      <c r="E12" s="1">
        <f t="shared" si="1"/>
        <v>4426853.1114256456</v>
      </c>
      <c r="G12" s="1">
        <f t="shared" si="1"/>
        <v>6923020.7789962552</v>
      </c>
      <c r="H12" s="1">
        <f t="shared" si="1"/>
        <v>8281937.4681509249</v>
      </c>
      <c r="I12" s="1">
        <f t="shared" si="1"/>
        <v>8158093.7993012322</v>
      </c>
      <c r="J12" s="1">
        <f t="shared" si="1"/>
        <v>0</v>
      </c>
      <c r="K12" s="1">
        <f>SUM(B12:J12)</f>
        <v>48874741.18</v>
      </c>
    </row>
    <row r="14" spans="1:11" x14ac:dyDescent="0.2">
      <c r="A14" t="s">
        <v>5</v>
      </c>
      <c r="B14" s="1">
        <f>B$9/($K$9-$J$9-$I$9)*-I14</f>
        <v>4189621.7875551656</v>
      </c>
      <c r="C14" s="1">
        <f t="shared" ref="C14:H14" si="2">C$9/($K$9-$J$9-$I$9)*-$I$14</f>
        <v>15725.377350081415</v>
      </c>
      <c r="D14" s="1">
        <f t="shared" si="2"/>
        <v>19265.642801733793</v>
      </c>
      <c r="E14" s="1">
        <f t="shared" si="2"/>
        <v>886975.8499777331</v>
      </c>
      <c r="G14" s="1">
        <f t="shared" si="2"/>
        <v>1387114.5225069772</v>
      </c>
      <c r="H14" s="1">
        <f t="shared" si="2"/>
        <v>1659390.6191095412</v>
      </c>
      <c r="I14" s="1">
        <f>-I12</f>
        <v>-8158093.7993012322</v>
      </c>
      <c r="K14" s="1">
        <v>0</v>
      </c>
    </row>
    <row r="15" spans="1:11" x14ac:dyDescent="0.2">
      <c r="A15" t="s">
        <v>4</v>
      </c>
      <c r="B15" s="1">
        <f>+B12+B14</f>
        <v>25099819.338481572</v>
      </c>
      <c r="C15" s="1">
        <f>+C12+C14</f>
        <v>94209.967040204196</v>
      </c>
      <c r="D15" s="1">
        <f>+D12+D14</f>
        <v>115419.52431114737</v>
      </c>
      <c r="E15" s="1">
        <f>+E12+E14</f>
        <v>5313828.9614033792</v>
      </c>
      <c r="G15" s="1">
        <f>+G12+G14</f>
        <v>8310135.3015032327</v>
      </c>
      <c r="H15" s="1">
        <f>+H12+H14</f>
        <v>9941328.0872604661</v>
      </c>
      <c r="I15" s="1">
        <f>+I12+I14</f>
        <v>0</v>
      </c>
      <c r="J15" s="1">
        <f>+J12+J14</f>
        <v>0</v>
      </c>
      <c r="K15" s="1">
        <f>SUM(B15:J15)</f>
        <v>48874741.180000007</v>
      </c>
    </row>
    <row r="17" spans="1:11" x14ac:dyDescent="0.2">
      <c r="A17" t="s">
        <v>6</v>
      </c>
      <c r="B17" s="1">
        <f>B$9/($K$9-$J$9-$I$9-$H$9)*-$H$17</f>
        <v>6409033.2481367486</v>
      </c>
      <c r="C17" s="1">
        <f>C$9/($K$9-$J$9-$I$9-$H$9)*-$H$17</f>
        <v>24055.743307316687</v>
      </c>
      <c r="D17" s="1">
        <f>D$9/($K$9-$J$9-$I$9-$H$9)*-$H$17</f>
        <v>29471.430005879141</v>
      </c>
      <c r="E17" s="1">
        <f>E$9/($K$9-$J$9-$I$9-$H$9)*-$H$17</f>
        <v>1356842.6939365568</v>
      </c>
      <c r="G17" s="1">
        <f>G$9/($K$9-$J$9-$I$9-$H$9)*-$H$17</f>
        <v>2121924.9718739656</v>
      </c>
      <c r="H17" s="1">
        <f>-H15</f>
        <v>-9941328.0872604661</v>
      </c>
      <c r="K17" s="1">
        <v>0</v>
      </c>
    </row>
    <row r="18" spans="1:11" x14ac:dyDescent="0.2">
      <c r="A18" t="s">
        <v>4</v>
      </c>
      <c r="B18" s="1">
        <f>+B15+B17</f>
        <v>31508852.586618319</v>
      </c>
      <c r="C18" s="1">
        <f>+C15+C17</f>
        <v>118265.71034752089</v>
      </c>
      <c r="D18" s="1">
        <f>+D15+D17</f>
        <v>144890.95431702651</v>
      </c>
      <c r="E18" s="1">
        <f>+E15+E17</f>
        <v>6670671.6553399358</v>
      </c>
      <c r="G18" s="1">
        <f>+G15+G17</f>
        <v>10432060.273377199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48874741.180000007</v>
      </c>
    </row>
    <row r="20" spans="1:11" x14ac:dyDescent="0.2">
      <c r="A20" t="s">
        <v>7</v>
      </c>
      <c r="B20" s="1">
        <f>B$9/($K$9-$J$9-$I$9-$H$9-$G$9)*-$G$20</f>
        <v>8550450.737995524</v>
      </c>
      <c r="C20" s="1">
        <f>C$9/($K$9-$J$9-$I$9-$H$9-$G$9)*-$G$20</f>
        <v>32093.365746678701</v>
      </c>
      <c r="D20" s="1">
        <f>D$9/($K$9-$J$9-$I$9-$H$9-$G$9)*-$G$20</f>
        <v>39318.56813456431</v>
      </c>
      <c r="E20" s="1">
        <f>E$9/($K$9-$J$9-$I$9-$H$9-$G$9)*-$G$20</f>
        <v>1810197.6015004325</v>
      </c>
      <c r="G20" s="1">
        <f>-G18</f>
        <v>-10432060.273377199</v>
      </c>
      <c r="K20" s="1">
        <f>SUM(B20:J20)</f>
        <v>0</v>
      </c>
    </row>
    <row r="22" spans="1:11" x14ac:dyDescent="0.2">
      <c r="A22" t="s">
        <v>8</v>
      </c>
      <c r="B22" s="1">
        <f>+B20+B18</f>
        <v>40059303.324613839</v>
      </c>
      <c r="C22" s="1">
        <f t="shared" ref="C22:K22" si="3">+C20+C18</f>
        <v>150359.07609419958</v>
      </c>
      <c r="D22" s="1">
        <f t="shared" si="3"/>
        <v>184209.5224515908</v>
      </c>
      <c r="E22" s="1">
        <f t="shared" si="3"/>
        <v>8480869.2568403687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48874741.180000007</v>
      </c>
    </row>
    <row r="27" spans="1:11" x14ac:dyDescent="0.2">
      <c r="A27" t="s">
        <v>9</v>
      </c>
      <c r="B27" s="1">
        <f>+B9</f>
        <v>19000628.5</v>
      </c>
    </row>
    <row r="28" spans="1:11" x14ac:dyDescent="0.2">
      <c r="A28" t="s">
        <v>10</v>
      </c>
      <c r="B28" s="1">
        <f>+B22-B27</f>
        <v>21058674.824613839</v>
      </c>
    </row>
    <row r="29" spans="1:11" x14ac:dyDescent="0.2">
      <c r="A29" s="22" t="s">
        <v>106</v>
      </c>
      <c r="B29" s="1">
        <v>3414</v>
      </c>
    </row>
    <row r="30" spans="1:11" x14ac:dyDescent="0.2">
      <c r="A30" t="s">
        <v>11</v>
      </c>
      <c r="B30" s="1">
        <f>+B28/B29</f>
        <v>6168.3288882875922</v>
      </c>
    </row>
  </sheetData>
  <phoneticPr fontId="0" type="noConversion"/>
  <pageMargins left="0.64" right="0.55000000000000004" top="1" bottom="0.51" header="0.5" footer="0.5"/>
  <pageSetup scale="10" orientation="landscape" horizontalDpi="4294967294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39">
    <pageSetUpPr fitToPage="1"/>
  </sheetPr>
  <dimension ref="A1:K30"/>
  <sheetViews>
    <sheetView zoomScale="90" zoomScaleNormal="90" workbookViewId="0">
      <selection activeCell="A29" sqref="A29:B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1.140625" style="1" customWidth="1"/>
    <col min="8" max="8" width="12.140625" style="1" customWidth="1"/>
    <col min="9" max="10" width="11" style="1" customWidth="1"/>
    <col min="11" max="11" width="14.42578125" style="1" customWidth="1"/>
  </cols>
  <sheetData>
    <row r="1" spans="1:11" ht="15.75" x14ac:dyDescent="0.25">
      <c r="A1" s="4" t="str">
        <f>+System!$A$1</f>
        <v>MINNESOTA STATE - F.Y. 2024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32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Table'!B39</f>
        <v>59405727.950000003</v>
      </c>
      <c r="C9" s="1">
        <f>'Master Expend Table'!C39</f>
        <v>1039231.69</v>
      </c>
      <c r="D9" s="1">
        <f>'Master Expend Table'!D39</f>
        <v>2568793.39</v>
      </c>
      <c r="E9" s="1">
        <f>'Master Expend Table'!E39</f>
        <v>5412174.5499999998</v>
      </c>
      <c r="G9" s="1">
        <f>'Master Expend Table'!G39</f>
        <v>21848140.670000002</v>
      </c>
      <c r="H9" s="1">
        <f>'Master Expend Table'!H39</f>
        <v>13252478.689999999</v>
      </c>
      <c r="I9" s="1">
        <f>'Master Expend Table'!I39</f>
        <v>28259293.100000001</v>
      </c>
      <c r="J9" s="1">
        <f>'Master Expend Table'!J39</f>
        <v>14758885.52</v>
      </c>
      <c r="K9" s="1">
        <f>SUM(B9:J9)</f>
        <v>146544725.56</v>
      </c>
    </row>
    <row r="11" spans="1:11" x14ac:dyDescent="0.2">
      <c r="A11" t="s">
        <v>3</v>
      </c>
      <c r="B11" s="1">
        <f>(B9/($K9-$J9))*-$J$11</f>
        <v>6652932.8020384964</v>
      </c>
      <c r="C11" s="1">
        <f t="shared" ref="C11:I11" si="0">(C9/($K9-$J9))*-$J$11</f>
        <v>116385.04968979009</v>
      </c>
      <c r="D11" s="1">
        <f t="shared" si="0"/>
        <v>287682.86149737635</v>
      </c>
      <c r="E11" s="1">
        <f t="shared" si="0"/>
        <v>606117.20176813239</v>
      </c>
      <c r="G11" s="1">
        <f t="shared" si="0"/>
        <v>2446804.6557620596</v>
      </c>
      <c r="H11" s="1">
        <f t="shared" si="0"/>
        <v>1484164.1240256387</v>
      </c>
      <c r="I11" s="1">
        <f t="shared" si="0"/>
        <v>3164798.8252185057</v>
      </c>
      <c r="J11" s="1">
        <f>-J9</f>
        <v>-14758885.52</v>
      </c>
      <c r="K11" s="1">
        <v>0</v>
      </c>
    </row>
    <row r="12" spans="1:11" x14ac:dyDescent="0.2">
      <c r="A12" t="s">
        <v>4</v>
      </c>
      <c r="B12" s="1">
        <f>+B9+B11</f>
        <v>66058660.752038501</v>
      </c>
      <c r="C12" s="1">
        <f t="shared" ref="C12:J12" si="1">+C9+C11</f>
        <v>1155616.7396897899</v>
      </c>
      <c r="D12" s="1">
        <f t="shared" si="1"/>
        <v>2856476.2514973767</v>
      </c>
      <c r="E12" s="1">
        <f t="shared" si="1"/>
        <v>6018291.7517681327</v>
      </c>
      <c r="G12" s="1">
        <f t="shared" si="1"/>
        <v>24294945.325762063</v>
      </c>
      <c r="H12" s="1">
        <f t="shared" si="1"/>
        <v>14736642.814025639</v>
      </c>
      <c r="I12" s="1">
        <f t="shared" si="1"/>
        <v>31424091.925218508</v>
      </c>
      <c r="J12" s="1">
        <f t="shared" si="1"/>
        <v>0</v>
      </c>
      <c r="K12" s="1">
        <f>SUM(B12:J12)</f>
        <v>146544725.56</v>
      </c>
    </row>
    <row r="14" spans="1:11" x14ac:dyDescent="0.2">
      <c r="A14" t="s">
        <v>5</v>
      </c>
      <c r="B14" s="1">
        <f>B$9/($K$9-$J$9-$I$9)*-I14</f>
        <v>18031810.305304892</v>
      </c>
      <c r="C14" s="1">
        <f t="shared" ref="C14:H14" si="2">C$9/($K$9-$J$9-$I$9)*-$I$14</f>
        <v>315444.81220924784</v>
      </c>
      <c r="D14" s="1">
        <f t="shared" si="2"/>
        <v>779722.70891095256</v>
      </c>
      <c r="E14" s="1">
        <f t="shared" si="2"/>
        <v>1642792.8449414591</v>
      </c>
      <c r="G14" s="1">
        <f t="shared" si="2"/>
        <v>6631709.4610244054</v>
      </c>
      <c r="H14" s="1">
        <f t="shared" si="2"/>
        <v>4022611.7928275545</v>
      </c>
      <c r="I14" s="1">
        <f>-I12</f>
        <v>-31424091.925218508</v>
      </c>
      <c r="K14" s="1">
        <v>0</v>
      </c>
    </row>
    <row r="15" spans="1:11" x14ac:dyDescent="0.2">
      <c r="A15" t="s">
        <v>4</v>
      </c>
      <c r="B15" s="1">
        <f>+B12+B14</f>
        <v>84090471.057343394</v>
      </c>
      <c r="C15" s="1">
        <f>+C12+C14</f>
        <v>1471061.5518990378</v>
      </c>
      <c r="D15" s="1">
        <f>+D12+D14</f>
        <v>3636198.960408329</v>
      </c>
      <c r="E15" s="1">
        <f>+E12+E14</f>
        <v>7661084.5967095923</v>
      </c>
      <c r="G15" s="1">
        <f>+G12+G14</f>
        <v>30926654.786786467</v>
      </c>
      <c r="H15" s="1">
        <f>+H12+H14</f>
        <v>18759254.606853195</v>
      </c>
      <c r="I15" s="1">
        <f>+I12+I14</f>
        <v>0</v>
      </c>
      <c r="J15" s="1">
        <f>+J12+J14</f>
        <v>0</v>
      </c>
      <c r="K15" s="1">
        <f>SUM(B15:J15)</f>
        <v>146544725.56</v>
      </c>
    </row>
    <row r="17" spans="1:11" x14ac:dyDescent="0.2">
      <c r="A17" t="s">
        <v>6</v>
      </c>
      <c r="B17" s="1">
        <f>B$9/($K$9-$J$9-$I$9-$H$9)*-$H$17</f>
        <v>12344709.807841249</v>
      </c>
      <c r="C17" s="1">
        <f>C$9/($K$9-$J$9-$I$9-$H$9)*-$H$17</f>
        <v>215955.83589111516</v>
      </c>
      <c r="D17" s="1">
        <f>D$9/($K$9-$J$9-$I$9-$H$9)*-$H$17</f>
        <v>533803.89484564459</v>
      </c>
      <c r="E17" s="1">
        <f>E$9/($K$9-$J$9-$I$9-$H$9)*-$H$17</f>
        <v>1124668.0506190781</v>
      </c>
      <c r="G17" s="1">
        <f>G$9/($K$9-$J$9-$I$9-$H$9)*-$H$17</f>
        <v>4540117.0176561102</v>
      </c>
      <c r="H17" s="1">
        <f>-H15</f>
        <v>-18759254.606853195</v>
      </c>
      <c r="K17" s="1">
        <v>0</v>
      </c>
    </row>
    <row r="18" spans="1:11" x14ac:dyDescent="0.2">
      <c r="A18" t="s">
        <v>4</v>
      </c>
      <c r="B18" s="1">
        <f>+B15+B17</f>
        <v>96435180.865184635</v>
      </c>
      <c r="C18" s="1">
        <f>+C15+C17</f>
        <v>1687017.387790153</v>
      </c>
      <c r="D18" s="1">
        <f>+D15+D17</f>
        <v>4170002.8552539735</v>
      </c>
      <c r="E18" s="1">
        <f>+E15+E17</f>
        <v>8785752.6473286711</v>
      </c>
      <c r="G18" s="1">
        <f>+G15+G17</f>
        <v>35466771.804442577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146544725.56000003</v>
      </c>
    </row>
    <row r="20" spans="1:11" x14ac:dyDescent="0.2">
      <c r="A20" t="s">
        <v>7</v>
      </c>
      <c r="B20" s="1">
        <f>B$9/($K$9-$J$9-$I$9-$H$9-$G$9)*-$G$20</f>
        <v>30791389.632477183</v>
      </c>
      <c r="C20" s="1">
        <f>C$9/($K$9-$J$9-$I$9-$H$9-$G$9)*-$G$20</f>
        <v>538658.29086617124</v>
      </c>
      <c r="D20" s="1">
        <f>D$9/($K$9-$J$9-$I$9-$H$9-$G$9)*-$G$20</f>
        <v>1331466.1883008189</v>
      </c>
      <c r="E20" s="1">
        <f>E$9/($K$9-$J$9-$I$9-$H$9-$G$9)*-$G$20</f>
        <v>2805257.6927984068</v>
      </c>
      <c r="G20" s="1">
        <f>-G18</f>
        <v>-35466771.804442577</v>
      </c>
      <c r="K20" s="1">
        <f>SUM(B20:J20)</f>
        <v>0</v>
      </c>
    </row>
    <row r="22" spans="1:11" x14ac:dyDescent="0.2">
      <c r="A22" t="s">
        <v>8</v>
      </c>
      <c r="B22" s="1">
        <f>+B20+B18</f>
        <v>127226570.49766181</v>
      </c>
      <c r="C22" s="1">
        <f t="shared" ref="C22:K22" si="3">+C20+C18</f>
        <v>2225675.6786563243</v>
      </c>
      <c r="D22" s="1">
        <f t="shared" si="3"/>
        <v>5501469.0435547922</v>
      </c>
      <c r="E22" s="1">
        <f t="shared" si="3"/>
        <v>11591010.340127077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146544725.56000003</v>
      </c>
    </row>
    <row r="27" spans="1:11" x14ac:dyDescent="0.2">
      <c r="A27" t="s">
        <v>9</v>
      </c>
      <c r="B27" s="1">
        <f>+B9</f>
        <v>59405727.950000003</v>
      </c>
    </row>
    <row r="28" spans="1:11" x14ac:dyDescent="0.2">
      <c r="A28" t="s">
        <v>10</v>
      </c>
      <c r="B28" s="1">
        <f>+B22-B27</f>
        <v>67820842.547661811</v>
      </c>
    </row>
    <row r="29" spans="1:11" x14ac:dyDescent="0.2">
      <c r="A29" s="22" t="s">
        <v>106</v>
      </c>
      <c r="B29" s="1">
        <v>7214</v>
      </c>
    </row>
    <row r="30" spans="1:11" x14ac:dyDescent="0.2">
      <c r="A30" t="s">
        <v>11</v>
      </c>
      <c r="B30" s="1">
        <f>+B28/B29</f>
        <v>9401.2811959608825</v>
      </c>
    </row>
  </sheetData>
  <phoneticPr fontId="0" type="noConversion"/>
  <pageMargins left="0.59" right="0.55000000000000004" top="1" bottom="0.56000000000000005" header="0.5" footer="0.5"/>
  <pageSetup scale="10" orientation="landscape" horizontalDpi="4294967294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0">
    <pageSetUpPr fitToPage="1"/>
  </sheetPr>
  <dimension ref="A1:K30"/>
  <sheetViews>
    <sheetView zoomScale="75" workbookViewId="0">
      <selection activeCell="A29" sqref="A29:B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.140625" style="1" customWidth="1"/>
  </cols>
  <sheetData>
    <row r="1" spans="1:11" ht="15.75" x14ac:dyDescent="0.25">
      <c r="A1" s="4" t="str">
        <f>+System!$A$1</f>
        <v>MINNESOTA STATE - F.Y. 2024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62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Table'!B40</f>
        <v>17674211.109999999</v>
      </c>
      <c r="C9" s="1">
        <f>'Master Expend Table'!C40</f>
        <v>0</v>
      </c>
      <c r="D9" s="1">
        <f>'Master Expend Table'!D40</f>
        <v>880219.17</v>
      </c>
      <c r="E9" s="1">
        <f>'Master Expend Table'!E40</f>
        <v>0</v>
      </c>
      <c r="G9" s="1">
        <f>'Master Expend Table'!G40</f>
        <v>3872612.21</v>
      </c>
      <c r="H9" s="1">
        <f>'Master Expend Table'!H40</f>
        <v>4235490.62</v>
      </c>
      <c r="I9" s="1">
        <f>'Master Expend Table'!I40</f>
        <v>5458759.6100000003</v>
      </c>
      <c r="J9" s="1">
        <f>'Master Expend Table'!J40</f>
        <v>3202724.99</v>
      </c>
      <c r="K9" s="1">
        <f>SUM(B9:J9)</f>
        <v>35324017.710000001</v>
      </c>
    </row>
    <row r="11" spans="1:11" x14ac:dyDescent="0.2">
      <c r="A11" t="s">
        <v>3</v>
      </c>
      <c r="B11" s="1">
        <f>(B9/($K9-$J9))*-$J$11</f>
        <v>1762246.5600610061</v>
      </c>
      <c r="C11" s="1">
        <f t="shared" ref="C11:I11" si="0">(C9/($K9-$J9))*-$J$11</f>
        <v>0</v>
      </c>
      <c r="D11" s="1">
        <f t="shared" si="0"/>
        <v>87764.211640236215</v>
      </c>
      <c r="E11" s="1">
        <f t="shared" si="0"/>
        <v>0</v>
      </c>
      <c r="G11" s="1">
        <f t="shared" si="0"/>
        <v>386127.42051391915</v>
      </c>
      <c r="H11" s="1">
        <f t="shared" si="0"/>
        <v>422309.02012042666</v>
      </c>
      <c r="I11" s="1">
        <f t="shared" si="0"/>
        <v>544277.77766441205</v>
      </c>
      <c r="J11" s="1">
        <f>-J9</f>
        <v>-3202724.99</v>
      </c>
      <c r="K11" s="1">
        <v>0</v>
      </c>
    </row>
    <row r="12" spans="1:11" x14ac:dyDescent="0.2">
      <c r="A12" t="s">
        <v>4</v>
      </c>
      <c r="B12" s="1">
        <f>+B9+B11</f>
        <v>19436457.670061007</v>
      </c>
      <c r="C12" s="1">
        <f t="shared" ref="C12:J12" si="1">+C9+C11</f>
        <v>0</v>
      </c>
      <c r="D12" s="1">
        <f t="shared" si="1"/>
        <v>967983.38164023624</v>
      </c>
      <c r="E12" s="1">
        <f t="shared" si="1"/>
        <v>0</v>
      </c>
      <c r="G12" s="1">
        <f t="shared" si="1"/>
        <v>4258739.6305139195</v>
      </c>
      <c r="H12" s="1">
        <f t="shared" si="1"/>
        <v>4657799.6401204271</v>
      </c>
      <c r="I12" s="1">
        <f t="shared" si="1"/>
        <v>6003037.3876644121</v>
      </c>
      <c r="J12" s="1">
        <f t="shared" si="1"/>
        <v>0</v>
      </c>
      <c r="K12" s="1">
        <f>SUM(B12:J12)</f>
        <v>35324017.710000001</v>
      </c>
    </row>
    <row r="14" spans="1:11" x14ac:dyDescent="0.2">
      <c r="A14" t="s">
        <v>5</v>
      </c>
      <c r="B14" s="1">
        <f>B$9/($K$9-$J$9-$I$9)*-I14</f>
        <v>3979327.4574879175</v>
      </c>
      <c r="C14" s="1">
        <f t="shared" ref="C14:H14" si="2">C$9/($K$9-$J$9-$I$9)*-$I$14</f>
        <v>0</v>
      </c>
      <c r="D14" s="1">
        <f t="shared" si="2"/>
        <v>198180.29161179494</v>
      </c>
      <c r="E14" s="1">
        <f t="shared" si="2"/>
        <v>0</v>
      </c>
      <c r="G14" s="1">
        <f t="shared" si="2"/>
        <v>871913.99964306341</v>
      </c>
      <c r="H14" s="1">
        <f t="shared" si="2"/>
        <v>953615.63892163604</v>
      </c>
      <c r="I14" s="1">
        <f>-I12</f>
        <v>-6003037.3876644121</v>
      </c>
      <c r="K14" s="1">
        <v>0</v>
      </c>
    </row>
    <row r="15" spans="1:11" x14ac:dyDescent="0.2">
      <c r="A15" t="s">
        <v>4</v>
      </c>
      <c r="B15" s="1">
        <f>+B12+B14</f>
        <v>23415785.127548926</v>
      </c>
      <c r="C15" s="1">
        <f>+C12+C14</f>
        <v>0</v>
      </c>
      <c r="D15" s="1">
        <f>+D12+D14</f>
        <v>1166163.6732520312</v>
      </c>
      <c r="E15" s="1">
        <f>+E12+E14</f>
        <v>0</v>
      </c>
      <c r="G15" s="1">
        <f>+G12+G14</f>
        <v>5130653.6301569827</v>
      </c>
      <c r="H15" s="1">
        <f>+H12+H14</f>
        <v>5611415.2790420633</v>
      </c>
      <c r="I15" s="1">
        <f>+I12+I14</f>
        <v>0</v>
      </c>
      <c r="J15" s="1">
        <f>+J12+J14</f>
        <v>0</v>
      </c>
      <c r="K15" s="1">
        <f>SUM(B15:J15)</f>
        <v>35324017.710000001</v>
      </c>
    </row>
    <row r="17" spans="1:11" x14ac:dyDescent="0.2">
      <c r="A17" t="s">
        <v>6</v>
      </c>
      <c r="B17" s="1">
        <f>B$9/($K$9-$J$9-$I$9-$H$9)*-$H$17</f>
        <v>4422221.0000222363</v>
      </c>
      <c r="C17" s="1">
        <f>C$9/($K$9-$J$9-$I$9-$H$9)*-$H$17</f>
        <v>0</v>
      </c>
      <c r="D17" s="1">
        <f>D$9/($K$9-$J$9-$I$9-$H$9)*-$H$17</f>
        <v>220237.47900090256</v>
      </c>
      <c r="E17" s="1">
        <f>E$9/($K$9-$J$9-$I$9-$H$9)*-$H$17</f>
        <v>0</v>
      </c>
      <c r="G17" s="1">
        <f>G$9/($K$9-$J$9-$I$9-$H$9)*-$H$17</f>
        <v>968956.80001892452</v>
      </c>
      <c r="H17" s="1">
        <f>-H15</f>
        <v>-5611415.2790420633</v>
      </c>
      <c r="K17" s="1">
        <v>0</v>
      </c>
    </row>
    <row r="18" spans="1:11" x14ac:dyDescent="0.2">
      <c r="A18" t="s">
        <v>4</v>
      </c>
      <c r="B18" s="1">
        <f>+B15+B17</f>
        <v>27838006.127571162</v>
      </c>
      <c r="C18" s="1">
        <f>+C15+C17</f>
        <v>0</v>
      </c>
      <c r="D18" s="1">
        <f>+D15+D17</f>
        <v>1386401.1522529337</v>
      </c>
      <c r="E18" s="1">
        <f>+E15+E17</f>
        <v>0</v>
      </c>
      <c r="G18" s="1">
        <f>+G15+G17</f>
        <v>6099610.430175907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35324017.710000001</v>
      </c>
    </row>
    <row r="20" spans="1:11" x14ac:dyDescent="0.2">
      <c r="A20" t="s">
        <v>7</v>
      </c>
      <c r="B20" s="1">
        <f>B$9/($K$9-$J$9-$I$9-$H$9-$G$9)*-$G$20</f>
        <v>5810245.8984090621</v>
      </c>
      <c r="C20" s="1">
        <f>C$9/($K$9-$J$9-$I$9-$H$9-$G$9)*-$G$20</f>
        <v>0</v>
      </c>
      <c r="D20" s="1">
        <f>D$9/($K$9-$J$9-$I$9-$H$9-$G$9)*-$G$20</f>
        <v>289364.53176684555</v>
      </c>
      <c r="E20" s="1">
        <f>E$9/($K$9-$J$9-$I$9-$H$9-$G$9)*-$G$20</f>
        <v>0</v>
      </c>
      <c r="G20" s="1">
        <f>-G18</f>
        <v>-6099610.430175907</v>
      </c>
      <c r="K20" s="1">
        <f>SUM(B20:J20)</f>
        <v>0</v>
      </c>
    </row>
    <row r="22" spans="1:11" x14ac:dyDescent="0.2">
      <c r="A22" t="s">
        <v>8</v>
      </c>
      <c r="B22" s="1">
        <f>+B20+B18</f>
        <v>33648252.025980227</v>
      </c>
      <c r="C22" s="1">
        <f t="shared" ref="C22:K22" si="3">+C20+C18</f>
        <v>0</v>
      </c>
      <c r="D22" s="1">
        <f t="shared" si="3"/>
        <v>1675765.6840197793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35324017.710000001</v>
      </c>
    </row>
    <row r="27" spans="1:11" x14ac:dyDescent="0.2">
      <c r="A27" t="s">
        <v>9</v>
      </c>
      <c r="B27" s="1">
        <f>+B9</f>
        <v>17674211.109999999</v>
      </c>
    </row>
    <row r="28" spans="1:11" x14ac:dyDescent="0.2">
      <c r="A28" t="s">
        <v>10</v>
      </c>
      <c r="B28" s="1">
        <f>+B22-B27</f>
        <v>15974040.915980227</v>
      </c>
    </row>
    <row r="29" spans="1:11" x14ac:dyDescent="0.2">
      <c r="A29" s="22" t="s">
        <v>106</v>
      </c>
      <c r="B29" s="1">
        <v>2574</v>
      </c>
    </row>
    <row r="30" spans="1:11" x14ac:dyDescent="0.2">
      <c r="A30" t="s">
        <v>11</v>
      </c>
      <c r="B30" s="1">
        <f>+B28/B29</f>
        <v>6205.9211017794205</v>
      </c>
    </row>
  </sheetData>
  <phoneticPr fontId="0" type="noConversion"/>
  <pageMargins left="0.57999999999999996" right="0.55000000000000004" top="1" bottom="0.5" header="0.5" footer="0.5"/>
  <pageSetup scale="10" orientation="landscape" horizontalDpi="4294967294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1">
    <pageSetUpPr fitToPage="1"/>
  </sheetPr>
  <dimension ref="A1:K30"/>
  <sheetViews>
    <sheetView zoomScale="75" workbookViewId="0">
      <selection activeCell="A29" sqref="A29:B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1.42578125" style="1" customWidth="1"/>
    <col min="8" max="8" width="10.5703125" style="1" customWidth="1"/>
    <col min="9" max="9" width="11" style="1" customWidth="1"/>
    <col min="10" max="10" width="10.28515625" style="1" customWidth="1"/>
    <col min="11" max="11" width="13.5703125" style="1" customWidth="1"/>
  </cols>
  <sheetData>
    <row r="1" spans="1:11" ht="15.75" x14ac:dyDescent="0.25">
      <c r="A1" s="4" t="str">
        <f>+System!$A$1</f>
        <v>MINNESOTA STATE - F.Y. 2024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33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Table'!B41</f>
        <v>50079105.649999999</v>
      </c>
      <c r="C9" s="1">
        <f>'Master Expend Table'!C41</f>
        <v>58451.199999999997</v>
      </c>
      <c r="D9" s="1">
        <f>'Master Expend Table'!D41</f>
        <v>224346.69</v>
      </c>
      <c r="E9" s="1">
        <f>'Master Expend Table'!E41</f>
        <v>3425266.15</v>
      </c>
      <c r="G9" s="1">
        <f>'Master Expend Table'!G41</f>
        <v>14281720.789999999</v>
      </c>
      <c r="H9" s="1">
        <f>'Master Expend Table'!H41</f>
        <v>7062930.3499999996</v>
      </c>
      <c r="I9" s="1">
        <f>'Master Expend Table'!I41</f>
        <v>17372207.960000001</v>
      </c>
      <c r="J9" s="1">
        <f>'Master Expend Table'!J41</f>
        <v>10089867.51</v>
      </c>
      <c r="K9" s="1">
        <f>SUM(B9:J9)</f>
        <v>102593896.3</v>
      </c>
    </row>
    <row r="11" spans="1:11" x14ac:dyDescent="0.2">
      <c r="A11" t="s">
        <v>3</v>
      </c>
      <c r="B11" s="1">
        <f>(B9/($K9-$J9))*-$J$11</f>
        <v>5462373.3434885405</v>
      </c>
      <c r="C11" s="1">
        <f t="shared" ref="C11:I11" si="0">(C9/($K9-$J9))*-$J$11</f>
        <v>6375.5586812265155</v>
      </c>
      <c r="D11" s="1">
        <f t="shared" si="0"/>
        <v>24470.592340857569</v>
      </c>
      <c r="E11" s="1">
        <f t="shared" si="0"/>
        <v>373610.55612449057</v>
      </c>
      <c r="G11" s="1">
        <f t="shared" si="0"/>
        <v>1557777.2392275559</v>
      </c>
      <c r="H11" s="1">
        <f t="shared" si="0"/>
        <v>770388.40789993585</v>
      </c>
      <c r="I11" s="1">
        <f t="shared" si="0"/>
        <v>1894871.8122373943</v>
      </c>
      <c r="J11" s="1">
        <f>-J9</f>
        <v>-10089867.51</v>
      </c>
      <c r="K11" s="1">
        <v>0</v>
      </c>
    </row>
    <row r="12" spans="1:11" x14ac:dyDescent="0.2">
      <c r="A12" t="s">
        <v>4</v>
      </c>
      <c r="B12" s="1">
        <f>+B9+B11</f>
        <v>55541478.993488535</v>
      </c>
      <c r="C12" s="1">
        <f t="shared" ref="C12:J12" si="1">+C9+C11</f>
        <v>64826.758681226514</v>
      </c>
      <c r="D12" s="1">
        <f t="shared" si="1"/>
        <v>248817.28234085758</v>
      </c>
      <c r="E12" s="1">
        <f t="shared" si="1"/>
        <v>3798876.7061244906</v>
      </c>
      <c r="G12" s="1">
        <f t="shared" si="1"/>
        <v>15839498.029227555</v>
      </c>
      <c r="H12" s="1">
        <f t="shared" si="1"/>
        <v>7833318.7578999354</v>
      </c>
      <c r="I12" s="1">
        <f t="shared" si="1"/>
        <v>19267079.772237394</v>
      </c>
      <c r="J12" s="1">
        <f t="shared" si="1"/>
        <v>0</v>
      </c>
      <c r="K12" s="1">
        <f>SUM(B12:J12)</f>
        <v>102593896.29999998</v>
      </c>
    </row>
    <row r="14" spans="1:11" x14ac:dyDescent="0.2">
      <c r="A14" t="s">
        <v>5</v>
      </c>
      <c r="B14" s="1">
        <f>B$9/($K$9-$J$9-$I$9)*-I14</f>
        <v>12842469.579754686</v>
      </c>
      <c r="C14" s="1">
        <f t="shared" ref="C14:H14" si="2">C$9/($K$9-$J$9-$I$9)*-$I$14</f>
        <v>14989.440169847705</v>
      </c>
      <c r="D14" s="1">
        <f t="shared" si="2"/>
        <v>57532.288251710328</v>
      </c>
      <c r="E14" s="1">
        <f t="shared" si="2"/>
        <v>878387.81789303897</v>
      </c>
      <c r="G14" s="1">
        <f t="shared" si="2"/>
        <v>3662456.8752082954</v>
      </c>
      <c r="H14" s="1">
        <f t="shared" si="2"/>
        <v>1811243.770959818</v>
      </c>
      <c r="I14" s="1">
        <f>-I12</f>
        <v>-19267079.772237394</v>
      </c>
      <c r="K14" s="1">
        <v>0</v>
      </c>
    </row>
    <row r="15" spans="1:11" x14ac:dyDescent="0.2">
      <c r="A15" t="s">
        <v>4</v>
      </c>
      <c r="B15" s="1">
        <f>+B12+B14</f>
        <v>68383948.573243216</v>
      </c>
      <c r="C15" s="1">
        <f>+C12+C14</f>
        <v>79816.198851074223</v>
      </c>
      <c r="D15" s="1">
        <f>+D12+D14</f>
        <v>306349.57059256791</v>
      </c>
      <c r="E15" s="1">
        <f>+E12+E14</f>
        <v>4677264.5240175296</v>
      </c>
      <c r="G15" s="1">
        <f>+G12+G14</f>
        <v>19501954.904435851</v>
      </c>
      <c r="H15" s="1">
        <f>+H12+H14</f>
        <v>9644562.5288597532</v>
      </c>
      <c r="I15" s="1">
        <f>+I12+I14</f>
        <v>0</v>
      </c>
      <c r="J15" s="1">
        <f>+J12+J14</f>
        <v>0</v>
      </c>
      <c r="K15" s="1">
        <f>SUM(B15:J15)</f>
        <v>102593896.3</v>
      </c>
    </row>
    <row r="17" spans="1:11" x14ac:dyDescent="0.2">
      <c r="A17" t="s">
        <v>6</v>
      </c>
      <c r="B17" s="1">
        <f>B$9/($K$9-$J$9-$I$9-$H$9)*-$H$17</f>
        <v>7095621.2511310317</v>
      </c>
      <c r="C17" s="1">
        <f>C$9/($K$9-$J$9-$I$9-$H$9)*-$H$17</f>
        <v>8281.8487169630625</v>
      </c>
      <c r="D17" s="1">
        <f>D$9/($K$9-$J$9-$I$9-$H$9)*-$H$17</f>
        <v>31787.29173620747</v>
      </c>
      <c r="E17" s="1">
        <f>E$9/($K$9-$J$9-$I$9-$H$9)*-$H$17</f>
        <v>485319.9946217445</v>
      </c>
      <c r="G17" s="1">
        <f>G$9/($K$9-$J$9-$I$9-$H$9)*-$H$17</f>
        <v>2023552.1426538071</v>
      </c>
      <c r="H17" s="1">
        <f>-H15</f>
        <v>-9644562.5288597532</v>
      </c>
      <c r="K17" s="1">
        <v>0</v>
      </c>
    </row>
    <row r="18" spans="1:11" x14ac:dyDescent="0.2">
      <c r="A18" t="s">
        <v>4</v>
      </c>
      <c r="B18" s="1">
        <f>+B15+B17</f>
        <v>75479569.824374244</v>
      </c>
      <c r="C18" s="1">
        <f>+C15+C17</f>
        <v>88098.047568037291</v>
      </c>
      <c r="D18" s="1">
        <f>+D15+D17</f>
        <v>338136.8623287754</v>
      </c>
      <c r="E18" s="1">
        <f>+E15+E17</f>
        <v>5162584.5186392739</v>
      </c>
      <c r="G18" s="1">
        <f>+G15+G17</f>
        <v>21525507.047089659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102593896.30000001</v>
      </c>
    </row>
    <row r="20" spans="1:11" x14ac:dyDescent="0.2">
      <c r="A20" t="s">
        <v>7</v>
      </c>
      <c r="B20" s="1">
        <f>B$9/($K$9-$J$9-$I$9-$H$9-$G$9)*-$G$20</f>
        <v>20041547.971270893</v>
      </c>
      <c r="C20" s="1">
        <f>C$9/($K$9-$J$9-$I$9-$H$9-$G$9)*-$G$20</f>
        <v>23392.041722261649</v>
      </c>
      <c r="D20" s="1">
        <f>D$9/($K$9-$J$9-$I$9-$H$9-$G$9)*-$G$20</f>
        <v>89783.052062768606</v>
      </c>
      <c r="E20" s="1">
        <f>E$9/($K$9-$J$9-$I$9-$H$9-$G$9)*-$G$20</f>
        <v>1370783.9820337398</v>
      </c>
      <c r="G20" s="1">
        <f>-G18</f>
        <v>-21525507.047089659</v>
      </c>
      <c r="K20" s="1">
        <f>SUM(B20:J20)</f>
        <v>0</v>
      </c>
    </row>
    <row r="22" spans="1:11" x14ac:dyDescent="0.2">
      <c r="A22" t="s">
        <v>8</v>
      </c>
      <c r="B22" s="1">
        <f>+B20+B18</f>
        <v>95521117.795645133</v>
      </c>
      <c r="C22" s="1">
        <f t="shared" ref="C22:K22" si="3">+C20+C18</f>
        <v>111490.08929029894</v>
      </c>
      <c r="D22" s="1">
        <f t="shared" si="3"/>
        <v>427919.91439154401</v>
      </c>
      <c r="E22" s="1">
        <f t="shared" si="3"/>
        <v>6533368.5006730137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102593896.30000001</v>
      </c>
    </row>
    <row r="27" spans="1:11" x14ac:dyDescent="0.2">
      <c r="A27" t="s">
        <v>9</v>
      </c>
      <c r="B27" s="1">
        <f>+B9</f>
        <v>50079105.649999999</v>
      </c>
    </row>
    <row r="28" spans="1:11" x14ac:dyDescent="0.2">
      <c r="A28" t="s">
        <v>10</v>
      </c>
      <c r="B28" s="1">
        <f>+B22-B27</f>
        <v>45442012.145645134</v>
      </c>
    </row>
    <row r="29" spans="1:11" x14ac:dyDescent="0.2">
      <c r="A29" s="22" t="s">
        <v>106</v>
      </c>
      <c r="B29" s="1">
        <v>5596</v>
      </c>
    </row>
    <row r="30" spans="1:11" x14ac:dyDescent="0.2">
      <c r="A30" t="s">
        <v>11</v>
      </c>
      <c r="B30" s="1">
        <f>+B28/B29</f>
        <v>8120.4453441109963</v>
      </c>
    </row>
  </sheetData>
  <phoneticPr fontId="0" type="noConversion"/>
  <pageMargins left="0.61" right="0.55000000000000004" top="1" bottom="0.57999999999999996" header="0.5" footer="0.5"/>
  <pageSetup scale="10" orientation="landscape" horizontalDpi="4294967294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K30"/>
  <sheetViews>
    <sheetView zoomScale="75" workbookViewId="0">
      <selection activeCell="A29" sqref="A29:B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1" style="1" bestFit="1" customWidth="1"/>
    <col min="5" max="5" width="9.28515625" style="1" customWidth="1"/>
    <col min="6" max="6" width="2.7109375" style="1" customWidth="1"/>
    <col min="7" max="7" width="11.140625" style="1" bestFit="1" customWidth="1"/>
    <col min="8" max="8" width="11.5703125" style="1" bestFit="1" customWidth="1"/>
    <col min="9" max="9" width="11.140625" style="1" bestFit="1" customWidth="1"/>
    <col min="10" max="10" width="13.7109375" style="1" bestFit="1" customWidth="1"/>
    <col min="11" max="11" width="11.7109375" style="1" bestFit="1" customWidth="1"/>
  </cols>
  <sheetData>
    <row r="1" spans="1:11" ht="15.75" x14ac:dyDescent="0.25">
      <c r="A1" s="4" t="str">
        <f>+System!$A$1</f>
        <v>MINNESOTA STATE - F.Y. 2024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18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Table'!B8</f>
        <v>24955291.170000002</v>
      </c>
      <c r="C9" s="1">
        <f>'Master Expend Table'!C8</f>
        <v>42699.23</v>
      </c>
      <c r="D9" s="1">
        <f>'Master Expend Table'!D8</f>
        <v>1049531.44</v>
      </c>
      <c r="E9" s="1">
        <f>'Master Expend Table'!E8</f>
        <v>157680.53999999998</v>
      </c>
      <c r="G9" s="1">
        <f>'Master Expend Table'!G8</f>
        <v>7869678.3700000001</v>
      </c>
      <c r="H9" s="1">
        <f>'Master Expend Table'!H8</f>
        <v>6516702.9400000004</v>
      </c>
      <c r="I9" s="1">
        <f>'Master Expend Table'!I8</f>
        <v>6787739.9800000004</v>
      </c>
      <c r="J9" s="1">
        <f>'Master Expend Table'!J8</f>
        <v>5941373.4800000004</v>
      </c>
      <c r="K9" s="1">
        <f>SUM(B9:J9)</f>
        <v>53320697.150000006</v>
      </c>
    </row>
    <row r="11" spans="1:11" x14ac:dyDescent="0.2">
      <c r="A11" t="s">
        <v>3</v>
      </c>
      <c r="B11" s="1">
        <f>(B9/($K9-$J9))*-$J$11</f>
        <v>3129396.8266794421</v>
      </c>
      <c r="C11" s="1">
        <f t="shared" ref="C11:I11" si="0">(C9/($K9-$J9))*-$J$11</f>
        <v>5354.4891122845447</v>
      </c>
      <c r="D11" s="1">
        <f t="shared" si="0"/>
        <v>131611.38194951805</v>
      </c>
      <c r="E11" s="1">
        <f t="shared" si="0"/>
        <v>19773.160655336116</v>
      </c>
      <c r="G11" s="1">
        <f t="shared" si="0"/>
        <v>986858.71265936608</v>
      </c>
      <c r="H11" s="1">
        <f t="shared" si="0"/>
        <v>817195.41406771704</v>
      </c>
      <c r="I11" s="1">
        <f t="shared" si="0"/>
        <v>851183.49487633654</v>
      </c>
      <c r="J11" s="1">
        <f>-J9</f>
        <v>-5941373.4800000004</v>
      </c>
      <c r="K11" s="1">
        <v>0</v>
      </c>
    </row>
    <row r="12" spans="1:11" x14ac:dyDescent="0.2">
      <c r="A12" t="s">
        <v>4</v>
      </c>
      <c r="B12" s="1">
        <f>+B9+B11</f>
        <v>28084687.996679444</v>
      </c>
      <c r="C12" s="1">
        <f t="shared" ref="C12:J12" si="1">+C9+C11</f>
        <v>48053.719112284547</v>
      </c>
      <c r="D12" s="1">
        <f t="shared" si="1"/>
        <v>1181142.8219495181</v>
      </c>
      <c r="E12" s="1">
        <f t="shared" si="1"/>
        <v>177453.70065533608</v>
      </c>
      <c r="G12" s="1">
        <f t="shared" si="1"/>
        <v>8856537.0826593656</v>
      </c>
      <c r="H12" s="1">
        <f t="shared" si="1"/>
        <v>7333898.3540677177</v>
      </c>
      <c r="I12" s="1">
        <f t="shared" si="1"/>
        <v>7638923.4748763368</v>
      </c>
      <c r="J12" s="1">
        <f t="shared" si="1"/>
        <v>0</v>
      </c>
      <c r="K12" s="1">
        <f>SUM(B12:J12)</f>
        <v>53320697.150000006</v>
      </c>
    </row>
    <row r="14" spans="1:11" x14ac:dyDescent="0.2">
      <c r="A14" t="s">
        <v>5</v>
      </c>
      <c r="B14" s="1">
        <f>B$9/($K$9-$J$9-$I$9)*-I14</f>
        <v>4696332.1509392234</v>
      </c>
      <c r="C14" s="1">
        <f t="shared" ref="C14:H14" si="2">C$9/($K$9-$J$9-$I$9)*-$I$14</f>
        <v>8035.5610881597495</v>
      </c>
      <c r="D14" s="1">
        <f t="shared" si="2"/>
        <v>197511.14949998556</v>
      </c>
      <c r="E14" s="1">
        <f t="shared" si="2"/>
        <v>29673.874952405858</v>
      </c>
      <c r="G14" s="1">
        <f t="shared" si="2"/>
        <v>1480993.4812947316</v>
      </c>
      <c r="H14" s="1">
        <f t="shared" si="2"/>
        <v>1226377.2571018317</v>
      </c>
      <c r="I14" s="1">
        <f>-I12</f>
        <v>-7638923.4748763368</v>
      </c>
      <c r="K14" s="1">
        <v>0</v>
      </c>
    </row>
    <row r="15" spans="1:11" x14ac:dyDescent="0.2">
      <c r="A15" t="s">
        <v>4</v>
      </c>
      <c r="B15" s="1">
        <f>+B12+B14</f>
        <v>32781020.147618666</v>
      </c>
      <c r="C15" s="1">
        <f>+C12+C14</f>
        <v>56089.280200444293</v>
      </c>
      <c r="D15" s="1">
        <f>+D12+D14</f>
        <v>1378653.9714495037</v>
      </c>
      <c r="E15" s="1">
        <f>+E12+E14</f>
        <v>207127.57560774195</v>
      </c>
      <c r="G15" s="1">
        <f>+G12+G14</f>
        <v>10337530.563954096</v>
      </c>
      <c r="H15" s="1">
        <f>+H12+H14</f>
        <v>8560275.6111695487</v>
      </c>
      <c r="I15" s="1">
        <f>+I12+I14</f>
        <v>0</v>
      </c>
      <c r="J15" s="1">
        <f>+J12+J14</f>
        <v>0</v>
      </c>
      <c r="K15" s="1">
        <f>SUM(B15:J15)</f>
        <v>53320697.149999991</v>
      </c>
    </row>
    <row r="17" spans="1:11" x14ac:dyDescent="0.2">
      <c r="A17" t="s">
        <v>6</v>
      </c>
      <c r="B17" s="1">
        <f>B$9/($K$9-$J$9-$I$9-$H$9)*-$H$17</f>
        <v>6269256.5805145418</v>
      </c>
      <c r="C17" s="1">
        <f>C$9/($K$9-$J$9-$I$9-$H$9)*-$H$17</f>
        <v>10726.880597659001</v>
      </c>
      <c r="D17" s="1">
        <f>D$9/($K$9-$J$9-$I$9-$H$9)*-$H$17</f>
        <v>263662.79767501919</v>
      </c>
      <c r="E17" s="1">
        <f>E$9/($K$9-$J$9-$I$9-$H$9)*-$H$17</f>
        <v>39612.431539266479</v>
      </c>
      <c r="G17" s="1">
        <f>G$9/($K$9-$J$9-$I$9-$H$9)*-$H$17</f>
        <v>1977016.920843062</v>
      </c>
      <c r="H17" s="1">
        <f>-H15</f>
        <v>-8560275.6111695487</v>
      </c>
      <c r="K17" s="1">
        <v>0</v>
      </c>
    </row>
    <row r="18" spans="1:11" x14ac:dyDescent="0.2">
      <c r="A18" t="s">
        <v>4</v>
      </c>
      <c r="B18" s="1">
        <f>+B15+B17</f>
        <v>39050276.728133209</v>
      </c>
      <c r="C18" s="1">
        <f>+C15+C17</f>
        <v>66816.160798103287</v>
      </c>
      <c r="D18" s="1">
        <f>+D15+D17</f>
        <v>1642316.7691245228</v>
      </c>
      <c r="E18" s="1">
        <f>+E15+E17</f>
        <v>246740.00714700844</v>
      </c>
      <c r="G18" s="1">
        <f>+G15+G17</f>
        <v>12314547.484797157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53320697.149999999</v>
      </c>
    </row>
    <row r="20" spans="1:11" x14ac:dyDescent="0.2">
      <c r="A20" t="s">
        <v>7</v>
      </c>
      <c r="B20" s="1">
        <f>B$9/($K$9-$J$9-$I$9-$H$9-$G$9)*-$G$20</f>
        <v>11727179.727657735</v>
      </c>
      <c r="C20" s="1">
        <f>C$9/($K$9-$J$9-$I$9-$H$9-$G$9)*-$G$20</f>
        <v>20065.546061212117</v>
      </c>
      <c r="D20" s="1">
        <f>D$9/($K$9-$J$9-$I$9-$H$9-$G$9)*-$G$20</f>
        <v>493203.77561867691</v>
      </c>
      <c r="E20" s="1">
        <f>E$9/($K$9-$J$9-$I$9-$H$9-$G$9)*-$G$20</f>
        <v>74098.435459534026</v>
      </c>
      <c r="G20" s="1">
        <f>-G18</f>
        <v>-12314547.484797157</v>
      </c>
      <c r="K20" s="1">
        <f>SUM(B20:J20)</f>
        <v>0</v>
      </c>
    </row>
    <row r="22" spans="1:11" x14ac:dyDescent="0.2">
      <c r="A22" t="s">
        <v>8</v>
      </c>
      <c r="B22" s="1">
        <f>+B20+B18</f>
        <v>50777456.455790944</v>
      </c>
      <c r="C22" s="1">
        <f t="shared" ref="C22:K22" si="3">+C20+C18</f>
        <v>86881.706859315396</v>
      </c>
      <c r="D22" s="1">
        <f t="shared" si="3"/>
        <v>2135520.5447431998</v>
      </c>
      <c r="E22" s="1">
        <f t="shared" si="3"/>
        <v>320838.44260654249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53320697.149999999</v>
      </c>
    </row>
    <row r="27" spans="1:11" x14ac:dyDescent="0.2">
      <c r="A27" t="s">
        <v>9</v>
      </c>
      <c r="B27" s="1">
        <f>+B9</f>
        <v>24955291.170000002</v>
      </c>
    </row>
    <row r="28" spans="1:11" x14ac:dyDescent="0.2">
      <c r="A28" t="s">
        <v>10</v>
      </c>
      <c r="B28" s="1">
        <f>+B22-B27</f>
        <v>25822165.285790943</v>
      </c>
    </row>
    <row r="29" spans="1:11" x14ac:dyDescent="0.2">
      <c r="A29" s="22" t="s">
        <v>106</v>
      </c>
      <c r="B29" s="1">
        <v>4678</v>
      </c>
    </row>
    <row r="30" spans="1:11" x14ac:dyDescent="0.2">
      <c r="A30" t="s">
        <v>11</v>
      </c>
      <c r="B30" s="1">
        <f>+B28/B29</f>
        <v>5519.9156232986197</v>
      </c>
    </row>
  </sheetData>
  <phoneticPr fontId="0" type="noConversion"/>
  <pageMargins left="0.57999999999999996" right="0.55000000000000004" top="0.75" bottom="0.56000000000000005" header="0.5" footer="0.5"/>
  <pageSetup scale="97" orientation="landscape" horizontalDpi="4294967294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9.28515625" style="1" customWidth="1"/>
    <col min="6" max="6" width="2.7109375" style="1" customWidth="1"/>
    <col min="7" max="10" width="10.28515625" style="1" customWidth="1"/>
    <col min="11" max="11" width="10.7109375" style="1" customWidth="1"/>
  </cols>
  <sheetData>
    <row r="1" spans="1:11" ht="15.75" x14ac:dyDescent="0.25">
      <c r="A1" s="4" t="str">
        <f>+System!$A$1</f>
        <v>MINNESOTA STATE - F.Y. 2024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48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Table'!B9</f>
        <v>10212692.300000001</v>
      </c>
      <c r="C9" s="1">
        <f>'Master Expend Table'!C9</f>
        <v>0</v>
      </c>
      <c r="D9" s="1">
        <f>'Master Expend Table'!D9</f>
        <v>0</v>
      </c>
      <c r="E9" s="1">
        <f>'Master Expend Table'!E9</f>
        <v>121328.85</v>
      </c>
      <c r="G9" s="1">
        <f>'Master Expend Table'!G9</f>
        <v>3206445.22</v>
      </c>
      <c r="H9" s="1">
        <f>'Master Expend Table'!H9</f>
        <v>1489831.28</v>
      </c>
      <c r="I9" s="1">
        <f>'Master Expend Table'!I9</f>
        <v>2746889.65</v>
      </c>
      <c r="J9" s="1">
        <f>'Master Expend Table'!J9</f>
        <v>1534582.26</v>
      </c>
      <c r="K9" s="1">
        <f>SUM(B9:J9)</f>
        <v>19311769.560000002</v>
      </c>
    </row>
    <row r="11" spans="1:11" x14ac:dyDescent="0.2">
      <c r="A11" t="s">
        <v>3</v>
      </c>
      <c r="B11" s="1">
        <f>(B9/($K9-$J9))*-$J$11</f>
        <v>881591.45572025329</v>
      </c>
      <c r="C11" s="1">
        <f t="shared" ref="C11:I11" si="0">(C9/($K9-$J9))*-$J$11</f>
        <v>0</v>
      </c>
      <c r="D11" s="1">
        <f t="shared" si="0"/>
        <v>0</v>
      </c>
      <c r="E11" s="1">
        <f t="shared" si="0"/>
        <v>10473.484792287754</v>
      </c>
      <c r="G11" s="1">
        <f t="shared" si="0"/>
        <v>276790.35323398979</v>
      </c>
      <c r="H11" s="1">
        <f t="shared" si="0"/>
        <v>128606.88331056133</v>
      </c>
      <c r="I11" s="1">
        <f t="shared" si="0"/>
        <v>237120.0829429079</v>
      </c>
      <c r="J11" s="1">
        <f>-J9</f>
        <v>-1534582.26</v>
      </c>
      <c r="K11" s="1">
        <v>0</v>
      </c>
    </row>
    <row r="12" spans="1:11" x14ac:dyDescent="0.2">
      <c r="A12" t="s">
        <v>4</v>
      </c>
      <c r="B12" s="1">
        <f>+B9+B11</f>
        <v>11094283.755720254</v>
      </c>
      <c r="C12" s="1">
        <f t="shared" ref="C12:J12" si="1">+C9+C11</f>
        <v>0</v>
      </c>
      <c r="D12" s="1">
        <f t="shared" si="1"/>
        <v>0</v>
      </c>
      <c r="E12" s="1">
        <f t="shared" si="1"/>
        <v>131802.33479228776</v>
      </c>
      <c r="G12" s="1">
        <f t="shared" si="1"/>
        <v>3483235.57323399</v>
      </c>
      <c r="H12" s="1">
        <f t="shared" si="1"/>
        <v>1618438.1633105613</v>
      </c>
      <c r="I12" s="1">
        <f t="shared" si="1"/>
        <v>2984009.7329429076</v>
      </c>
      <c r="J12" s="1">
        <f t="shared" si="1"/>
        <v>0</v>
      </c>
      <c r="K12" s="1">
        <f>SUM(B12:J12)</f>
        <v>19311769.560000002</v>
      </c>
    </row>
    <row r="14" spans="1:11" x14ac:dyDescent="0.2">
      <c r="A14" t="s">
        <v>5</v>
      </c>
      <c r="B14" s="1">
        <f>B$9/($K$9-$J$9-$I$9)*-I14</f>
        <v>2027556.2023052212</v>
      </c>
      <c r="C14" s="1">
        <f t="shared" ref="C14:H14" si="2">C$9/($K$9-$J$9-$I$9)*-$I$14</f>
        <v>0</v>
      </c>
      <c r="D14" s="1">
        <f t="shared" si="2"/>
        <v>0</v>
      </c>
      <c r="E14" s="1">
        <f t="shared" si="2"/>
        <v>24087.777748484583</v>
      </c>
      <c r="G14" s="1">
        <f t="shared" si="2"/>
        <v>636585.11410971708</v>
      </c>
      <c r="H14" s="1">
        <f t="shared" si="2"/>
        <v>295780.63877948484</v>
      </c>
      <c r="I14" s="1">
        <f>-I12</f>
        <v>-2984009.7329429076</v>
      </c>
      <c r="K14" s="1">
        <v>0</v>
      </c>
    </row>
    <row r="15" spans="1:11" x14ac:dyDescent="0.2">
      <c r="A15" t="s">
        <v>4</v>
      </c>
      <c r="B15" s="1">
        <f>+B12+B14</f>
        <v>13121839.958025476</v>
      </c>
      <c r="C15" s="1">
        <f>+C12+C14</f>
        <v>0</v>
      </c>
      <c r="D15" s="1">
        <f>+D12+D14</f>
        <v>0</v>
      </c>
      <c r="E15" s="1">
        <f>+E12+E14</f>
        <v>155890.11254077233</v>
      </c>
      <c r="G15" s="1">
        <f>+G12+G14</f>
        <v>4119820.6873437073</v>
      </c>
      <c r="H15" s="1">
        <f>+H12+H14</f>
        <v>1914218.8020900462</v>
      </c>
      <c r="I15" s="1">
        <f>+I12+I14</f>
        <v>0</v>
      </c>
      <c r="J15" s="1">
        <f>+J12+J14</f>
        <v>0</v>
      </c>
      <c r="K15" s="1">
        <f>SUM(B15:J15)</f>
        <v>19311769.559999999</v>
      </c>
    </row>
    <row r="17" spans="1:11" x14ac:dyDescent="0.2">
      <c r="A17" t="s">
        <v>6</v>
      </c>
      <c r="B17" s="1">
        <f>B$9/($K$9-$J$9-$I$9-$H$9)*-$H$17</f>
        <v>1443770.6269802758</v>
      </c>
      <c r="C17" s="1">
        <f>C$9/($K$9-$J$9-$I$9-$H$9)*-$H$17</f>
        <v>0</v>
      </c>
      <c r="D17" s="1">
        <f>D$9/($K$9-$J$9-$I$9-$H$9)*-$H$17</f>
        <v>0</v>
      </c>
      <c r="E17" s="1">
        <f>E$9/($K$9-$J$9-$I$9-$H$9)*-$H$17</f>
        <v>17152.287045336307</v>
      </c>
      <c r="G17" s="1">
        <f>G$9/($K$9-$J$9-$I$9-$H$9)*-$H$17</f>
        <v>453295.88806443411</v>
      </c>
      <c r="H17" s="1">
        <f>-H15</f>
        <v>-1914218.8020900462</v>
      </c>
      <c r="K17" s="1">
        <v>0</v>
      </c>
    </row>
    <row r="18" spans="1:11" x14ac:dyDescent="0.2">
      <c r="A18" t="s">
        <v>4</v>
      </c>
      <c r="B18" s="1">
        <f>+B15+B17</f>
        <v>14565610.585005753</v>
      </c>
      <c r="C18" s="1">
        <f>+C15+C17</f>
        <v>0</v>
      </c>
      <c r="D18" s="1">
        <f>+D15+D17</f>
        <v>0</v>
      </c>
      <c r="E18" s="1">
        <f>+E15+E17</f>
        <v>173042.39958610863</v>
      </c>
      <c r="G18" s="1">
        <f>+G15+G17</f>
        <v>4573116.5754081411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19311769.560000002</v>
      </c>
    </row>
    <row r="20" spans="1:11" x14ac:dyDescent="0.2">
      <c r="A20" t="s">
        <v>7</v>
      </c>
      <c r="B20" s="1">
        <f>B$9/($K$9-$J$9-$I$9-$H$9-$G$9)*-$G$20</f>
        <v>4519424.8936362099</v>
      </c>
      <c r="C20" s="1">
        <f>C$9/($K$9-$J$9-$I$9-$H$9-$G$9)*-$G$20</f>
        <v>0</v>
      </c>
      <c r="D20" s="1">
        <f>D$9/($K$9-$J$9-$I$9-$H$9-$G$9)*-$G$20</f>
        <v>0</v>
      </c>
      <c r="E20" s="1">
        <f>E$9/($K$9-$J$9-$I$9-$H$9-$G$9)*-$G$20</f>
        <v>53691.681771931355</v>
      </c>
      <c r="G20" s="1">
        <f>-G18</f>
        <v>-4573116.5754081411</v>
      </c>
      <c r="K20" s="1">
        <f>SUM(B20:J20)</f>
        <v>0</v>
      </c>
    </row>
    <row r="22" spans="1:11" x14ac:dyDescent="0.2">
      <c r="A22" t="s">
        <v>8</v>
      </c>
      <c r="B22" s="1">
        <f>+B20+B18</f>
        <v>19085035.478641964</v>
      </c>
      <c r="C22" s="1">
        <f t="shared" ref="C22:K22" si="3">+C20+C18</f>
        <v>0</v>
      </c>
      <c r="D22" s="1">
        <f t="shared" si="3"/>
        <v>0</v>
      </c>
      <c r="E22" s="1">
        <f t="shared" si="3"/>
        <v>226734.08135803998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19311769.560000002</v>
      </c>
    </row>
    <row r="27" spans="1:11" x14ac:dyDescent="0.2">
      <c r="A27" t="s">
        <v>9</v>
      </c>
      <c r="B27" s="1">
        <f>+B9</f>
        <v>10212692.300000001</v>
      </c>
    </row>
    <row r="28" spans="1:11" x14ac:dyDescent="0.2">
      <c r="A28" t="s">
        <v>10</v>
      </c>
      <c r="B28" s="1">
        <f>+B22-B27</f>
        <v>8872343.1786419638</v>
      </c>
    </row>
    <row r="29" spans="1:11" x14ac:dyDescent="0.2">
      <c r="A29" s="22" t="s">
        <v>106</v>
      </c>
      <c r="B29" s="1">
        <v>1315</v>
      </c>
    </row>
    <row r="30" spans="1:11" x14ac:dyDescent="0.2">
      <c r="A30" t="s">
        <v>11</v>
      </c>
      <c r="B30" s="1">
        <f>+B28/B29</f>
        <v>6747.029033187805</v>
      </c>
    </row>
  </sheetData>
  <phoneticPr fontId="0" type="noConversion"/>
  <pageMargins left="0.46" right="0.55000000000000004" top="0.59" bottom="0.57999999999999996" header="0.5" footer="0.5"/>
  <pageSetup orientation="landscape" horizontalDpi="4294967294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K30"/>
  <sheetViews>
    <sheetView zoomScale="90" zoomScaleNormal="90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1" style="1" customWidth="1"/>
    <col min="8" max="10" width="10.28515625" style="1" customWidth="1"/>
    <col min="11" max="11" width="10.7109375" style="1" customWidth="1"/>
  </cols>
  <sheetData>
    <row r="1" spans="1:11" ht="15.75" x14ac:dyDescent="0.25">
      <c r="A1" s="4" t="str">
        <f>+System!$A$1</f>
        <v>MINNESOTA STATE - F.Y. 2024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54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Table'!B10</f>
        <v>29942485.089999996</v>
      </c>
      <c r="C9" s="1">
        <f>'Master Expend Table'!C10</f>
        <v>0</v>
      </c>
      <c r="D9" s="1">
        <f>'Master Expend Table'!D10</f>
        <v>149506.66999999998</v>
      </c>
      <c r="E9" s="1">
        <f>'Master Expend Table'!E10</f>
        <v>6646112.8399999999</v>
      </c>
      <c r="G9" s="1">
        <f>'Master Expend Table'!G10</f>
        <v>7829100.96</v>
      </c>
      <c r="H9" s="1">
        <f>'Master Expend Table'!H10</f>
        <v>6215257.7599999998</v>
      </c>
      <c r="I9" s="1">
        <f>'Master Expend Table'!I10</f>
        <v>10907992.449999999</v>
      </c>
      <c r="J9" s="1">
        <f>'Master Expend Table'!J10</f>
        <v>7472647.8000000007</v>
      </c>
      <c r="K9" s="1">
        <f>SUM(B9:J9)</f>
        <v>69163103.569999993</v>
      </c>
    </row>
    <row r="11" spans="1:11" x14ac:dyDescent="0.2">
      <c r="A11" t="s">
        <v>3</v>
      </c>
      <c r="B11" s="1">
        <f>(B9/($K9-$J9))*-$J$11</f>
        <v>3626973.4522391148</v>
      </c>
      <c r="C11" s="1">
        <f t="shared" ref="C11:I11" si="0">(C9/($K9-$J9))*-$J$11</f>
        <v>0</v>
      </c>
      <c r="D11" s="1">
        <f t="shared" si="0"/>
        <v>18109.943827066429</v>
      </c>
      <c r="E11" s="1">
        <f t="shared" si="0"/>
        <v>805052.57859562349</v>
      </c>
      <c r="G11" s="1">
        <f t="shared" si="0"/>
        <v>948349.51913537947</v>
      </c>
      <c r="H11" s="1">
        <f t="shared" si="0"/>
        <v>752862.52382143703</v>
      </c>
      <c r="I11" s="1">
        <f t="shared" si="0"/>
        <v>1321299.7823813795</v>
      </c>
      <c r="J11" s="1">
        <f>-J9</f>
        <v>-7472647.8000000007</v>
      </c>
      <c r="K11" s="1">
        <v>0</v>
      </c>
    </row>
    <row r="12" spans="1:11" x14ac:dyDescent="0.2">
      <c r="A12" t="s">
        <v>4</v>
      </c>
      <c r="B12" s="1">
        <f>+B9+B11</f>
        <v>33569458.542239115</v>
      </c>
      <c r="C12" s="1">
        <f t="shared" ref="C12:J12" si="1">+C9+C11</f>
        <v>0</v>
      </c>
      <c r="D12" s="1">
        <f t="shared" si="1"/>
        <v>167616.61382706641</v>
      </c>
      <c r="E12" s="1">
        <f t="shared" si="1"/>
        <v>7451165.4185956232</v>
      </c>
      <c r="G12" s="1">
        <f t="shared" si="1"/>
        <v>8777450.4791353792</v>
      </c>
      <c r="H12" s="1">
        <f t="shared" si="1"/>
        <v>6968120.2838214366</v>
      </c>
      <c r="I12" s="1">
        <f t="shared" si="1"/>
        <v>12229292.232381379</v>
      </c>
      <c r="J12" s="1">
        <f t="shared" si="1"/>
        <v>0</v>
      </c>
      <c r="K12" s="1">
        <f>SUM(B12:J12)</f>
        <v>69163103.569999993</v>
      </c>
    </row>
    <row r="14" spans="1:11" x14ac:dyDescent="0.2">
      <c r="A14" t="s">
        <v>5</v>
      </c>
      <c r="B14" s="1">
        <f>B$9/($K$9-$J$9-$I$9)*-I14</f>
        <v>7210666.3676773421</v>
      </c>
      <c r="C14" s="1">
        <f t="shared" ref="C14:H14" si="2">C$9/($K$9-$J$9-$I$9)*-$I$14</f>
        <v>0</v>
      </c>
      <c r="D14" s="1">
        <f t="shared" si="2"/>
        <v>36003.782380523684</v>
      </c>
      <c r="E14" s="1">
        <f t="shared" si="2"/>
        <v>1600498.4952695705</v>
      </c>
      <c r="G14" s="1">
        <f t="shared" si="2"/>
        <v>1885382.4193862996</v>
      </c>
      <c r="H14" s="1">
        <f t="shared" si="2"/>
        <v>1496741.1676676439</v>
      </c>
      <c r="I14" s="1">
        <f>-I12</f>
        <v>-12229292.232381379</v>
      </c>
      <c r="K14" s="1">
        <v>0</v>
      </c>
    </row>
    <row r="15" spans="1:11" x14ac:dyDescent="0.2">
      <c r="A15" t="s">
        <v>4</v>
      </c>
      <c r="B15" s="1">
        <f>+B12+B14</f>
        <v>40780124.909916461</v>
      </c>
      <c r="C15" s="1">
        <f>+C12+C14</f>
        <v>0</v>
      </c>
      <c r="D15" s="1">
        <f>+D12+D14</f>
        <v>203620.39620759009</v>
      </c>
      <c r="E15" s="1">
        <f>+E12+E14</f>
        <v>9051663.9138651937</v>
      </c>
      <c r="G15" s="1">
        <f>+G12+G14</f>
        <v>10662832.898521679</v>
      </c>
      <c r="H15" s="1">
        <f>+H12+H14</f>
        <v>8464861.4514890797</v>
      </c>
      <c r="I15" s="1">
        <f>+I12+I14</f>
        <v>0</v>
      </c>
      <c r="J15" s="1">
        <f>+J12+J14</f>
        <v>0</v>
      </c>
      <c r="K15" s="1">
        <f>SUM(B15:J15)</f>
        <v>69163103.570000008</v>
      </c>
    </row>
    <row r="17" spans="1:11" x14ac:dyDescent="0.2">
      <c r="A17" t="s">
        <v>6</v>
      </c>
      <c r="B17" s="1">
        <f>B$9/($K$9-$J$9-$I$9-$H$9)*-$H$17</f>
        <v>5687118.6922164187</v>
      </c>
      <c r="C17" s="1">
        <f>C$9/($K$9-$J$9-$I$9-$H$9)*-$H$17</f>
        <v>0</v>
      </c>
      <c r="D17" s="1">
        <f>D$9/($K$9-$J$9-$I$9-$H$9)*-$H$17</f>
        <v>28396.513349254266</v>
      </c>
      <c r="E17" s="1">
        <f>E$9/($K$9-$J$9-$I$9-$H$9)*-$H$17</f>
        <v>1262327.8411706327</v>
      </c>
      <c r="G17" s="1">
        <f>G$9/($K$9-$J$9-$I$9-$H$9)*-$H$17</f>
        <v>1487018.4047527739</v>
      </c>
      <c r="H17" s="1">
        <f>-H15</f>
        <v>-8464861.4514890797</v>
      </c>
      <c r="K17" s="1">
        <v>0</v>
      </c>
    </row>
    <row r="18" spans="1:11" x14ac:dyDescent="0.2">
      <c r="A18" t="s">
        <v>4</v>
      </c>
      <c r="B18" s="1">
        <f>+B15+B17</f>
        <v>46467243.602132879</v>
      </c>
      <c r="C18" s="1">
        <f>+C15+C17</f>
        <v>0</v>
      </c>
      <c r="D18" s="1">
        <f>+D15+D17</f>
        <v>232016.90955684436</v>
      </c>
      <c r="E18" s="1">
        <f>+E15+E17</f>
        <v>10313991.755035827</v>
      </c>
      <c r="G18" s="1">
        <f>+G15+G17</f>
        <v>12149851.303274453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69163103.569999993</v>
      </c>
    </row>
    <row r="20" spans="1:11" x14ac:dyDescent="0.2">
      <c r="A20" t="s">
        <v>7</v>
      </c>
      <c r="B20" s="1">
        <f>B$9/($K$9-$J$9-$I$9-$H$9-$G$9)*-$G$20</f>
        <v>9902436.3247638084</v>
      </c>
      <c r="C20" s="1">
        <f>C$9/($K$9-$J$9-$I$9-$H$9-$G$9)*-$G$20</f>
        <v>0</v>
      </c>
      <c r="D20" s="1">
        <f>D$9/($K$9-$J$9-$I$9-$H$9-$G$9)*-$G$20</f>
        <v>49444.13515954015</v>
      </c>
      <c r="E20" s="1">
        <f>E$9/($K$9-$J$9-$I$9-$H$9-$G$9)*-$G$20</f>
        <v>2197970.8433511043</v>
      </c>
      <c r="G20" s="1">
        <f>-G18</f>
        <v>-12149851.303274453</v>
      </c>
      <c r="K20" s="1">
        <f>SUM(B20:J20)</f>
        <v>0</v>
      </c>
    </row>
    <row r="22" spans="1:11" x14ac:dyDescent="0.2">
      <c r="A22" t="s">
        <v>8</v>
      </c>
      <c r="B22" s="1">
        <f>+B20+B18</f>
        <v>56369679.926896691</v>
      </c>
      <c r="C22" s="1">
        <f t="shared" ref="C22:K22" si="3">+C20+C18</f>
        <v>0</v>
      </c>
      <c r="D22" s="1">
        <f t="shared" si="3"/>
        <v>281461.04471638449</v>
      </c>
      <c r="E22" s="1">
        <f t="shared" si="3"/>
        <v>12511962.598386932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69163103.569999993</v>
      </c>
    </row>
    <row r="27" spans="1:11" x14ac:dyDescent="0.2">
      <c r="A27" t="s">
        <v>9</v>
      </c>
      <c r="B27" s="1">
        <f>+B9</f>
        <v>29942485.089999996</v>
      </c>
    </row>
    <row r="28" spans="1:11" x14ac:dyDescent="0.2">
      <c r="A28" t="s">
        <v>10</v>
      </c>
      <c r="B28" s="1">
        <f>+B22-B27</f>
        <v>26427194.836896695</v>
      </c>
    </row>
    <row r="29" spans="1:11" x14ac:dyDescent="0.2">
      <c r="A29" s="22" t="s">
        <v>106</v>
      </c>
      <c r="B29" s="1">
        <f>'BEMIDJI SU'!B29+'NTC-Bemidji'!B29</f>
        <v>3763</v>
      </c>
    </row>
    <row r="30" spans="1:11" x14ac:dyDescent="0.2">
      <c r="A30" t="s">
        <v>11</v>
      </c>
      <c r="B30" s="1">
        <f>+B28/B29</f>
        <v>7022.9058827788185</v>
      </c>
    </row>
  </sheetData>
  <phoneticPr fontId="11" type="noConversion"/>
  <pageMargins left="0.66" right="0.35" top="0.89" bottom="0.69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K30"/>
  <sheetViews>
    <sheetView workbookViewId="0">
      <selection activeCell="A29" sqref="A29:B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1.140625" style="1" customWidth="1"/>
    <col min="8" max="10" width="10.28515625" style="1" customWidth="1"/>
    <col min="11" max="11" width="10.7109375" style="1" customWidth="1"/>
  </cols>
  <sheetData>
    <row r="1" spans="1:11" ht="15.75" x14ac:dyDescent="0.25">
      <c r="A1" s="4" t="str">
        <f>+System!$A$1</f>
        <v>MINNESOTA STATE - F.Y. 2024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19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Table'!B11</f>
        <v>25282756.739999998</v>
      </c>
      <c r="C9" s="1">
        <f>'Master Expend Table'!C11</f>
        <v>0</v>
      </c>
      <c r="D9" s="1">
        <f>'Master Expend Table'!D11</f>
        <v>85269.39</v>
      </c>
      <c r="E9" s="1">
        <f>'Master Expend Table'!E11</f>
        <v>6646112.8399999999</v>
      </c>
      <c r="G9" s="1">
        <f>'Master Expend Table'!G11</f>
        <v>7319748.3600000003</v>
      </c>
      <c r="H9" s="1">
        <f>'Master Expend Table'!H11</f>
        <v>5477205.2800000003</v>
      </c>
      <c r="I9" s="1">
        <f>'Master Expend Table'!I11</f>
        <v>9315483.0399999991</v>
      </c>
      <c r="J9" s="1">
        <f>'Master Expend Table'!J11</f>
        <v>6869130.9900000002</v>
      </c>
      <c r="K9" s="1">
        <f>SUM(B9:J9)</f>
        <v>60995706.640000001</v>
      </c>
    </row>
    <row r="11" spans="1:11" x14ac:dyDescent="0.2">
      <c r="A11" t="s">
        <v>3</v>
      </c>
      <c r="B11" s="1">
        <f>(B9/($K9-$J9))*-$J$11</f>
        <v>3208600.6873661401</v>
      </c>
      <c r="C11" s="1">
        <f t="shared" ref="C11:I11" si="0">(C9/($K9-$J9))*-$J$11</f>
        <v>0</v>
      </c>
      <c r="D11" s="1">
        <f t="shared" si="0"/>
        <v>10821.423714939856</v>
      </c>
      <c r="E11" s="1">
        <f t="shared" si="0"/>
        <v>843449.25065069983</v>
      </c>
      <c r="G11" s="1">
        <f t="shared" si="0"/>
        <v>928939.4293813539</v>
      </c>
      <c r="H11" s="1">
        <f t="shared" si="0"/>
        <v>695104.76278282038</v>
      </c>
      <c r="I11" s="1">
        <f t="shared" si="0"/>
        <v>1182215.4361040464</v>
      </c>
      <c r="J11" s="1">
        <f>-J9</f>
        <v>-6869130.9900000002</v>
      </c>
      <c r="K11" s="1">
        <v>0</v>
      </c>
    </row>
    <row r="12" spans="1:11" x14ac:dyDescent="0.2">
      <c r="A12" t="s">
        <v>4</v>
      </c>
      <c r="B12" s="1">
        <f>+B9+B11</f>
        <v>28491357.427366138</v>
      </c>
      <c r="C12" s="1">
        <f t="shared" ref="C12:J12" si="1">+C9+C11</f>
        <v>0</v>
      </c>
      <c r="D12" s="1">
        <f t="shared" si="1"/>
        <v>96090.813714939854</v>
      </c>
      <c r="E12" s="1">
        <f t="shared" si="1"/>
        <v>7489562.0906507</v>
      </c>
      <c r="G12" s="1">
        <f t="shared" si="1"/>
        <v>8248687.7893813541</v>
      </c>
      <c r="H12" s="1">
        <f t="shared" si="1"/>
        <v>6172310.0427828208</v>
      </c>
      <c r="I12" s="1">
        <f t="shared" si="1"/>
        <v>10497698.476104045</v>
      </c>
      <c r="J12" s="1">
        <f t="shared" si="1"/>
        <v>0</v>
      </c>
      <c r="K12" s="1">
        <f>SUM(B12:J12)</f>
        <v>60995706.640000001</v>
      </c>
    </row>
    <row r="14" spans="1:11" x14ac:dyDescent="0.2">
      <c r="A14" t="s">
        <v>5</v>
      </c>
      <c r="B14" s="1">
        <f>B$9/($K$9-$J$9-$I$9)*-I14</f>
        <v>5922880.7298034616</v>
      </c>
      <c r="C14" s="1">
        <f t="shared" ref="C14:H14" si="2">C$9/($K$9-$J$9-$I$9)*-$I$14</f>
        <v>0</v>
      </c>
      <c r="D14" s="1">
        <f t="shared" si="2"/>
        <v>19975.686673204764</v>
      </c>
      <c r="E14" s="1">
        <f t="shared" si="2"/>
        <v>1556955.757354463</v>
      </c>
      <c r="G14" s="1">
        <f t="shared" si="2"/>
        <v>1714765.4013481794</v>
      </c>
      <c r="H14" s="1">
        <f t="shared" si="2"/>
        <v>1283120.9009247373</v>
      </c>
      <c r="I14" s="1">
        <f>-I12</f>
        <v>-10497698.476104045</v>
      </c>
      <c r="K14" s="1">
        <v>0</v>
      </c>
    </row>
    <row r="15" spans="1:11" x14ac:dyDescent="0.2">
      <c r="A15" t="s">
        <v>4</v>
      </c>
      <c r="B15" s="1">
        <f>+B12+B14</f>
        <v>34414238.157169595</v>
      </c>
      <c r="C15" s="1">
        <f>+C12+C14</f>
        <v>0</v>
      </c>
      <c r="D15" s="1">
        <f>+D12+D14</f>
        <v>116066.50038814462</v>
      </c>
      <c r="E15" s="1">
        <f>+E12+E14</f>
        <v>9046517.8480051626</v>
      </c>
      <c r="G15" s="1">
        <f>+G12+G14</f>
        <v>9963453.1907295343</v>
      </c>
      <c r="H15" s="1">
        <f>+H12+H14</f>
        <v>7455430.9437075583</v>
      </c>
      <c r="I15" s="1">
        <f>+I12+I14</f>
        <v>0</v>
      </c>
      <c r="J15" s="1">
        <f>+J12+J14</f>
        <v>0</v>
      </c>
      <c r="K15" s="1">
        <f>SUM(B15:J15)</f>
        <v>60995706.639999993</v>
      </c>
    </row>
    <row r="17" spans="1:11" x14ac:dyDescent="0.2">
      <c r="A17" t="s">
        <v>6</v>
      </c>
      <c r="B17" s="1">
        <f>B$9/($K$9-$J$9-$I$9-$H$9)*-$H$17</f>
        <v>4792148.951874949</v>
      </c>
      <c r="C17" s="1">
        <f>C$9/($K$9-$J$9-$I$9-$H$9)*-$H$17</f>
        <v>0</v>
      </c>
      <c r="D17" s="1">
        <f>D$9/($K$9-$J$9-$I$9-$H$9)*-$H$17</f>
        <v>16162.146482587888</v>
      </c>
      <c r="E17" s="1">
        <f>E$9/($K$9-$J$9-$I$9-$H$9)*-$H$17</f>
        <v>1259718.7485437412</v>
      </c>
      <c r="G17" s="1">
        <f>G$9/($K$9-$J$9-$I$9-$H$9)*-$H$17</f>
        <v>1387401.0968062803</v>
      </c>
      <c r="H17" s="1">
        <f>-H15</f>
        <v>-7455430.9437075583</v>
      </c>
      <c r="K17" s="1">
        <v>0</v>
      </c>
    </row>
    <row r="18" spans="1:11" x14ac:dyDescent="0.2">
      <c r="A18" t="s">
        <v>4</v>
      </c>
      <c r="B18" s="1">
        <f>+B15+B17</f>
        <v>39206387.109044544</v>
      </c>
      <c r="C18" s="1">
        <f>+C15+C17</f>
        <v>0</v>
      </c>
      <c r="D18" s="1">
        <f>+D15+D17</f>
        <v>132228.64687073251</v>
      </c>
      <c r="E18" s="1">
        <f>+E15+E17</f>
        <v>10306236.596548904</v>
      </c>
      <c r="G18" s="1">
        <f>+G15+G17</f>
        <v>11350854.287535815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60995706.640000001</v>
      </c>
    </row>
    <row r="20" spans="1:11" x14ac:dyDescent="0.2">
      <c r="A20" t="s">
        <v>7</v>
      </c>
      <c r="B20" s="1">
        <f>B$9/($K$9-$J$9-$I$9-$H$9-$G$9)*-$G$20</f>
        <v>8964191.9781718869</v>
      </c>
      <c r="C20" s="1">
        <f>C$9/($K$9-$J$9-$I$9-$H$9-$G$9)*-$G$20</f>
        <v>0</v>
      </c>
      <c r="D20" s="1">
        <f>D$9/($K$9-$J$9-$I$9-$H$9-$G$9)*-$G$20</f>
        <v>30232.904966897619</v>
      </c>
      <c r="E20" s="1">
        <f>E$9/($K$9-$J$9-$I$9-$H$9-$G$9)*-$G$20</f>
        <v>2356429.4043970294</v>
      </c>
      <c r="G20" s="1">
        <f>-G18</f>
        <v>-11350854.287535815</v>
      </c>
      <c r="K20" s="1">
        <f>SUM(B20:J20)</f>
        <v>0</v>
      </c>
    </row>
    <row r="22" spans="1:11" x14ac:dyDescent="0.2">
      <c r="A22" t="s">
        <v>8</v>
      </c>
      <c r="B22" s="1">
        <f>+B20+B18</f>
        <v>48170579.087216429</v>
      </c>
      <c r="C22" s="1">
        <f t="shared" ref="C22:K22" si="3">+C20+C18</f>
        <v>0</v>
      </c>
      <c r="D22" s="1">
        <f t="shared" si="3"/>
        <v>162461.55183763013</v>
      </c>
      <c r="E22" s="1">
        <f t="shared" si="3"/>
        <v>12662666.000945933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60995706.640000001</v>
      </c>
    </row>
    <row r="27" spans="1:11" x14ac:dyDescent="0.2">
      <c r="A27" t="s">
        <v>9</v>
      </c>
      <c r="B27" s="1">
        <f>+B9</f>
        <v>25282756.739999998</v>
      </c>
    </row>
    <row r="28" spans="1:11" x14ac:dyDescent="0.2">
      <c r="A28" t="s">
        <v>10</v>
      </c>
      <c r="B28" s="1">
        <f>+B22-B27</f>
        <v>22887822.347216431</v>
      </c>
    </row>
    <row r="29" spans="1:11" x14ac:dyDescent="0.2">
      <c r="A29" s="22" t="s">
        <v>106</v>
      </c>
      <c r="B29" s="1">
        <v>3161</v>
      </c>
    </row>
    <row r="30" spans="1:11" x14ac:dyDescent="0.2">
      <c r="A30" t="s">
        <v>11</v>
      </c>
      <c r="B30" s="1">
        <f>+B28/B29</f>
        <v>7240.6903977274378</v>
      </c>
    </row>
  </sheetData>
  <phoneticPr fontId="0" type="noConversion"/>
  <pageMargins left="0.52" right="0.55000000000000004" top="1" bottom="0.55000000000000004" header="0.5" footer="0.5"/>
  <pageSetup orientation="landscape" horizontalDpi="4294967294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K30"/>
  <sheetViews>
    <sheetView zoomScale="80" workbookViewId="0">
      <selection activeCell="A29" sqref="A29:B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0.85546875" style="1" customWidth="1"/>
    <col min="8" max="8" width="11.42578125" style="1" customWidth="1"/>
    <col min="9" max="10" width="10.28515625" style="1" customWidth="1"/>
    <col min="11" max="11" width="10.7109375" style="1" customWidth="1"/>
  </cols>
  <sheetData>
    <row r="1" spans="1:11" ht="15.75" x14ac:dyDescent="0.25">
      <c r="A1" s="4" t="str">
        <f>+System!$A$1</f>
        <v>MINNESOTA STATE - F.Y. 2024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53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Table'!B12</f>
        <v>4659728.3499999996</v>
      </c>
      <c r="C9" s="1">
        <f>'Master Expend Table'!C12</f>
        <v>0</v>
      </c>
      <c r="D9" s="1">
        <f>'Master Expend Table'!D12</f>
        <v>64237.279999999999</v>
      </c>
      <c r="E9" s="1">
        <f>'Master Expend Table'!E12</f>
        <v>0</v>
      </c>
      <c r="G9" s="1">
        <f>'Master Expend Table'!G12</f>
        <v>509352.6</v>
      </c>
      <c r="H9" s="1">
        <f>'Master Expend Table'!H12</f>
        <v>738052.48</v>
      </c>
      <c r="I9" s="1">
        <f>'Master Expend Table'!I12</f>
        <v>1592509.41</v>
      </c>
      <c r="J9" s="1">
        <f>'Master Expend Table'!J12</f>
        <v>603516.81000000006</v>
      </c>
      <c r="K9" s="1">
        <f>SUM(B9:J9)</f>
        <v>8167396.9299999997</v>
      </c>
    </row>
    <row r="11" spans="1:11" x14ac:dyDescent="0.2">
      <c r="A11" t="s">
        <v>3</v>
      </c>
      <c r="B11" s="1">
        <f>(B9/($K9-$J9))*-$J$11</f>
        <v>371796.53096598305</v>
      </c>
      <c r="C11" s="1">
        <f t="shared" ref="C11:I11" si="0">(C9/($K9-$J9))*-$J$11</f>
        <v>0</v>
      </c>
      <c r="D11" s="1">
        <f t="shared" si="0"/>
        <v>5125.4485387952982</v>
      </c>
      <c r="E11" s="1">
        <f t="shared" si="0"/>
        <v>0</v>
      </c>
      <c r="G11" s="1">
        <f t="shared" si="0"/>
        <v>40640.894810639336</v>
      </c>
      <c r="H11" s="1">
        <f t="shared" si="0"/>
        <v>58888.701470084758</v>
      </c>
      <c r="I11" s="1">
        <f t="shared" si="0"/>
        <v>127065.2342144976</v>
      </c>
      <c r="J11" s="1">
        <f>-J9</f>
        <v>-603516.81000000006</v>
      </c>
      <c r="K11" s="1">
        <v>0</v>
      </c>
    </row>
    <row r="12" spans="1:11" x14ac:dyDescent="0.2">
      <c r="A12" t="s">
        <v>4</v>
      </c>
      <c r="B12" s="1">
        <f>+B9+B11</f>
        <v>5031524.8809659826</v>
      </c>
      <c r="C12" s="1">
        <f t="shared" ref="C12:J12" si="1">+C9+C11</f>
        <v>0</v>
      </c>
      <c r="D12" s="1">
        <f t="shared" si="1"/>
        <v>69362.728538795302</v>
      </c>
      <c r="E12" s="1">
        <f t="shared" si="1"/>
        <v>0</v>
      </c>
      <c r="G12" s="1">
        <f t="shared" si="1"/>
        <v>549993.4948106393</v>
      </c>
      <c r="H12" s="1">
        <f t="shared" si="1"/>
        <v>796941.1814700847</v>
      </c>
      <c r="I12" s="1">
        <f t="shared" si="1"/>
        <v>1719574.6442144974</v>
      </c>
      <c r="J12" s="1">
        <f t="shared" si="1"/>
        <v>0</v>
      </c>
      <c r="K12" s="1">
        <f>SUM(B12:J12)</f>
        <v>8167396.9299999997</v>
      </c>
    </row>
    <row r="14" spans="1:11" x14ac:dyDescent="0.2">
      <c r="A14" t="s">
        <v>5</v>
      </c>
      <c r="B14" s="1">
        <f>B$9/($K$9-$J$9-$I$9)*-I14</f>
        <v>1341861.2088793693</v>
      </c>
      <c r="C14" s="1">
        <f t="shared" ref="C14:H14" si="2">C$9/($K$9-$J$9-$I$9)*-$I$14</f>
        <v>0</v>
      </c>
      <c r="D14" s="1">
        <f t="shared" si="2"/>
        <v>18498.398988413679</v>
      </c>
      <c r="E14" s="1">
        <f t="shared" si="2"/>
        <v>0</v>
      </c>
      <c r="G14" s="1">
        <f t="shared" si="2"/>
        <v>146678.18470187215</v>
      </c>
      <c r="H14" s="1">
        <f t="shared" si="2"/>
        <v>212536.85164484245</v>
      </c>
      <c r="I14" s="1">
        <f>-I12</f>
        <v>-1719574.6442144974</v>
      </c>
      <c r="K14" s="1">
        <v>0</v>
      </c>
    </row>
    <row r="15" spans="1:11" x14ac:dyDescent="0.2">
      <c r="A15" t="s">
        <v>4</v>
      </c>
      <c r="B15" s="1">
        <f>+B12+B14</f>
        <v>6373386.0898453519</v>
      </c>
      <c r="C15" s="1">
        <f>+C12+C14</f>
        <v>0</v>
      </c>
      <c r="D15" s="1">
        <f>+D12+D14</f>
        <v>87861.127527208984</v>
      </c>
      <c r="E15" s="1">
        <f>+E12+E14</f>
        <v>0</v>
      </c>
      <c r="G15" s="1">
        <f>+G12+G14</f>
        <v>696671.67951251147</v>
      </c>
      <c r="H15" s="1">
        <f>+H12+H14</f>
        <v>1009478.0331149271</v>
      </c>
      <c r="I15" s="1">
        <f>+I12+I14</f>
        <v>0</v>
      </c>
      <c r="J15" s="1">
        <f>+J12+J14</f>
        <v>0</v>
      </c>
      <c r="K15" s="1">
        <f>SUM(B15:J15)</f>
        <v>8167396.9299999997</v>
      </c>
    </row>
    <row r="17" spans="1:11" x14ac:dyDescent="0.2">
      <c r="A17" t="s">
        <v>6</v>
      </c>
      <c r="B17" s="1">
        <f>B$9/($K$9-$J$9-$I$9-$H$9)*-$H$17</f>
        <v>898835.72962232516</v>
      </c>
      <c r="C17" s="1">
        <f>C$9/($K$9-$J$9-$I$9-$H$9)*-$H$17</f>
        <v>0</v>
      </c>
      <c r="D17" s="1">
        <f>D$9/($K$9-$J$9-$I$9-$H$9)*-$H$17</f>
        <v>12391.014690320651</v>
      </c>
      <c r="E17" s="1">
        <f>E$9/($K$9-$J$9-$I$9-$H$9)*-$H$17</f>
        <v>0</v>
      </c>
      <c r="G17" s="1">
        <f>G$9/($K$9-$J$9-$I$9-$H$9)*-$H$17</f>
        <v>98251.288802281444</v>
      </c>
      <c r="H17" s="1">
        <f>-H15</f>
        <v>-1009478.0331149271</v>
      </c>
      <c r="K17" s="1">
        <v>0</v>
      </c>
    </row>
    <row r="18" spans="1:11" x14ac:dyDescent="0.2">
      <c r="A18" t="s">
        <v>4</v>
      </c>
      <c r="B18" s="1">
        <f>+B15+B17</f>
        <v>7272221.8194676768</v>
      </c>
      <c r="C18" s="1">
        <f>+C15+C17</f>
        <v>0</v>
      </c>
      <c r="D18" s="1">
        <f>+D15+D17</f>
        <v>100252.14221752963</v>
      </c>
      <c r="E18" s="1">
        <f>+E15+E17</f>
        <v>0</v>
      </c>
      <c r="G18" s="1">
        <f>+G15+G17</f>
        <v>794922.96831479296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8167396.9299999997</v>
      </c>
    </row>
    <row r="20" spans="1:11" x14ac:dyDescent="0.2">
      <c r="A20" t="s">
        <v>7</v>
      </c>
      <c r="B20" s="1">
        <f>B$9/($K$9-$J$9-$I$9-$H$9-$G$9)*-$G$20</f>
        <v>784113.47195229121</v>
      </c>
      <c r="C20" s="1">
        <f>C$9/($K$9-$J$9-$I$9-$H$9-$G$9)*-$G$20</f>
        <v>0</v>
      </c>
      <c r="D20" s="1">
        <f>D$9/($K$9-$J$9-$I$9-$H$9-$G$9)*-$G$20</f>
        <v>10809.496362501794</v>
      </c>
      <c r="E20" s="1">
        <f>E$9/($K$9-$J$9-$I$9-$H$9-$G$9)*-$G$20</f>
        <v>0</v>
      </c>
      <c r="G20" s="1">
        <f>-G18</f>
        <v>-794922.96831479296</v>
      </c>
      <c r="K20" s="1">
        <f>SUM(B20:J20)</f>
        <v>0</v>
      </c>
    </row>
    <row r="22" spans="1:11" x14ac:dyDescent="0.2">
      <c r="A22" t="s">
        <v>8</v>
      </c>
      <c r="B22" s="1">
        <f>+B20+B18</f>
        <v>8056335.291419968</v>
      </c>
      <c r="C22" s="1">
        <f t="shared" ref="C22:K22" si="3">+C20+C18</f>
        <v>0</v>
      </c>
      <c r="D22" s="1">
        <f t="shared" si="3"/>
        <v>111061.63858003143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8167396.9299999997</v>
      </c>
    </row>
    <row r="27" spans="1:11" x14ac:dyDescent="0.2">
      <c r="A27" t="s">
        <v>9</v>
      </c>
      <c r="B27" s="1">
        <f>+B9</f>
        <v>4659728.3499999996</v>
      </c>
    </row>
    <row r="28" spans="1:11" x14ac:dyDescent="0.2">
      <c r="A28" t="s">
        <v>10</v>
      </c>
      <c r="B28" s="1">
        <f>+B22-B27</f>
        <v>3396606.9414199684</v>
      </c>
    </row>
    <row r="29" spans="1:11" x14ac:dyDescent="0.2">
      <c r="A29" s="22" t="s">
        <v>106</v>
      </c>
      <c r="B29" s="1">
        <v>602</v>
      </c>
    </row>
    <row r="30" spans="1:11" x14ac:dyDescent="0.2">
      <c r="A30" t="s">
        <v>11</v>
      </c>
      <c r="B30" s="1">
        <f>+B28/B29</f>
        <v>5642.2042216278542</v>
      </c>
    </row>
  </sheetData>
  <phoneticPr fontId="11" type="noConversion"/>
  <pageMargins left="0.75" right="0.75" top="1" bottom="1" header="0.5" footer="0.5"/>
  <pageSetup scale="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43</vt:i4>
      </vt:variant>
    </vt:vector>
  </HeadingPairs>
  <TitlesOfParts>
    <vt:vector size="43" baseType="lpstr">
      <vt:lpstr>Master Expend Table</vt:lpstr>
      <vt:lpstr>System</vt:lpstr>
      <vt:lpstr>ALEX TC</vt:lpstr>
      <vt:lpstr>ARCCATC</vt:lpstr>
      <vt:lpstr>ANOKARAM CC</vt:lpstr>
      <vt:lpstr>ANOKA TC</vt:lpstr>
      <vt:lpstr>BSU &amp; TC</vt:lpstr>
      <vt:lpstr>BEMIDJI SU</vt:lpstr>
      <vt:lpstr>NTC-Bemidji</vt:lpstr>
      <vt:lpstr>CENTRAL LAKES</vt:lpstr>
      <vt:lpstr>CENTURY</vt:lpstr>
      <vt:lpstr>Sheet2</vt:lpstr>
      <vt:lpstr>DAKCTY TC</vt:lpstr>
      <vt:lpstr>INVER HILLS</vt:lpstr>
      <vt:lpstr>FDL CC</vt:lpstr>
      <vt:lpstr>HENN TC</vt:lpstr>
      <vt:lpstr>LAKE SUPERIOR</vt:lpstr>
      <vt:lpstr>METRO SU</vt:lpstr>
      <vt:lpstr>MPLS COLLEGE</vt:lpstr>
      <vt:lpstr>MN SC-SOUTHEAST</vt:lpstr>
      <vt:lpstr>MINNESOTA STATE COLLEGE</vt:lpstr>
      <vt:lpstr>MSU MOORHEAD</vt:lpstr>
      <vt:lpstr>MSU MANKATO</vt:lpstr>
      <vt:lpstr>MN WEST</vt:lpstr>
      <vt:lpstr>NORMANDALE</vt:lpstr>
      <vt:lpstr>NO HENN CC</vt:lpstr>
      <vt:lpstr>MN North</vt:lpstr>
      <vt:lpstr>HIBBING</vt:lpstr>
      <vt:lpstr>ITASCA CC</vt:lpstr>
      <vt:lpstr>MESABI RANGE</vt:lpstr>
      <vt:lpstr>RAINY RIVER</vt:lpstr>
      <vt:lpstr>VERMILION</vt:lpstr>
      <vt:lpstr>NORTHLAND</vt:lpstr>
      <vt:lpstr>PINE TC</vt:lpstr>
      <vt:lpstr>RIDGEWATER</vt:lpstr>
      <vt:lpstr>RIVERLAND</vt:lpstr>
      <vt:lpstr>ROCHESTER</vt:lpstr>
      <vt:lpstr>SAINT PAUL</vt:lpstr>
      <vt:lpstr>SOUTH CENTRAL</vt:lpstr>
      <vt:lpstr>SOUTHWEST MN SU</vt:lpstr>
      <vt:lpstr>ST CLOUD SU</vt:lpstr>
      <vt:lpstr>ST CLOUD TCC</vt:lpstr>
      <vt:lpstr>WINONA SU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Kedrowski</dc:creator>
  <cp:lastModifiedBy>Susan Anderson</cp:lastModifiedBy>
  <cp:lastPrinted>2014-04-15T15:36:16Z</cp:lastPrinted>
  <dcterms:created xsi:type="dcterms:W3CDTF">2000-03-31T14:58:40Z</dcterms:created>
  <dcterms:modified xsi:type="dcterms:W3CDTF">2025-04-08T20:47:03Z</dcterms:modified>
</cp:coreProperties>
</file>