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inance\bargain\000_Allocation Framework\FY2026 Allocation\"/>
    </mc:Choice>
  </mc:AlternateContent>
  <xr:revisionPtr revIDLastSave="0" documentId="8_{ED639F28-703A-4401-83A2-44BAE610AB69}" xr6:coauthVersionLast="36" xr6:coauthVersionMax="36" xr10:uidLastSave="{00000000-0000-0000-0000-000000000000}"/>
  <bookViews>
    <workbookView xWindow="0" yWindow="0" windowWidth="28800" windowHeight="12375" tabRatio="602" firstSheet="2" activeTab="2" xr2:uid="{00000000-000D-0000-FFFF-FFFF00000000}"/>
  </bookViews>
  <sheets>
    <sheet name="FY2015 Detail" sheetId="11" state="hidden" r:id="rId1"/>
    <sheet name="Sheet1" sheetId="32" state="hidden" r:id="rId2"/>
    <sheet name="Summary" sheetId="24" r:id="rId3"/>
    <sheet name="Instruction" sheetId="17" r:id="rId4"/>
    <sheet name="Academic Support Per FYE" sheetId="20" r:id="rId5"/>
    <sheet name="Student&amp;Institutional Support" sheetId="26" r:id="rId6"/>
    <sheet name="Weighted differ concurrent" sheetId="31" r:id="rId7"/>
    <sheet name="Facilities" sheetId="15" r:id="rId8"/>
    <sheet name="Student Success" sheetId="27" r:id="rId9"/>
    <sheet name="3rd Term Expected" sheetId="34" r:id="rId10"/>
    <sheet name="Improvement Allocation" sheetId="35" r:id="rId11"/>
    <sheet name="Research" sheetId="13" r:id="rId12"/>
    <sheet name="Revenue Offset" sheetId="25" r:id="rId13"/>
  </sheets>
  <externalReferences>
    <externalReference r:id="rId14"/>
  </externalReferences>
  <definedNames>
    <definedName name="Demographic_Distribution_Analysis_Sum" localSheetId="6">#REF!</definedName>
    <definedName name="Demographic_Distribution_Analysis_Sum">#REF!</definedName>
    <definedName name="_xlnm.Print_Area" localSheetId="9">'3rd Term Expected'!$A$1:$J$42</definedName>
    <definedName name="_xlnm.Print_Area" localSheetId="0">'FY2015 Detail'!$B$1:$D$40</definedName>
    <definedName name="_xlnm.Print_Area" localSheetId="10">'Improvement Allocation'!$A$1:$H$42</definedName>
    <definedName name="_xlnm.Print_Area" localSheetId="3">Instruction!$A$1:$M$43</definedName>
    <definedName name="_xlnm.Print_Area" localSheetId="2">Summary!$B$1:$W$41</definedName>
    <definedName name="_xlnm.Print_Titles" localSheetId="0">'FY2015 Detail'!$B:$C</definedName>
    <definedName name="_xlnm.Print_Titles" localSheetId="2">Summary!$B:$C</definedName>
    <definedName name="vv" localSheetId="6">#REF!</definedName>
    <definedName name="vv">#REF!</definedName>
  </definedNames>
  <calcPr calcId="191029"/>
</workbook>
</file>

<file path=xl/calcChain.xml><?xml version="1.0" encoding="utf-8"?>
<calcChain xmlns="http://schemas.openxmlformats.org/spreadsheetml/2006/main">
  <c r="I21" i="34" l="1"/>
  <c r="I39" i="34" l="1"/>
  <c r="I38" i="34"/>
  <c r="I37" i="34"/>
  <c r="I36" i="34"/>
  <c r="I35" i="34"/>
  <c r="I34" i="34"/>
  <c r="I33" i="34"/>
  <c r="I31" i="34"/>
  <c r="I30" i="34"/>
  <c r="I29" i="34"/>
  <c r="I28" i="34"/>
  <c r="I27" i="34"/>
  <c r="I26" i="34"/>
  <c r="I25" i="34"/>
  <c r="I24" i="34"/>
  <c r="I23" i="34"/>
  <c r="I22" i="34"/>
  <c r="I20" i="34"/>
  <c r="I19" i="34"/>
  <c r="I18" i="34"/>
  <c r="I17" i="34"/>
  <c r="I16" i="34"/>
  <c r="I15" i="34"/>
  <c r="I14" i="34"/>
  <c r="I13" i="34"/>
  <c r="I12" i="34"/>
  <c r="I11" i="34"/>
  <c r="I10" i="34"/>
  <c r="I9" i="34"/>
  <c r="I8" i="34"/>
  <c r="I7" i="34"/>
  <c r="I6" i="34"/>
  <c r="O44" i="24" l="1"/>
  <c r="O46" i="24" s="1"/>
  <c r="O41" i="24" s="1"/>
  <c r="I32" i="34" l="1"/>
  <c r="H32" i="34"/>
  <c r="F32" i="34"/>
  <c r="E32" i="34" s="1"/>
  <c r="C32" i="34"/>
  <c r="D32" i="34" s="1"/>
  <c r="B32" i="34"/>
  <c r="G32" i="34" l="1"/>
  <c r="I23" i="17"/>
  <c r="C35" i="17"/>
  <c r="E19" i="17"/>
  <c r="C10" i="15" l="1"/>
  <c r="D14" i="13" l="1"/>
  <c r="D11" i="13"/>
  <c r="V11" i="24" l="1"/>
  <c r="V8" i="24"/>
  <c r="V7" i="24"/>
  <c r="H17" i="35" l="1"/>
  <c r="I37" i="17" l="1"/>
  <c r="C37" i="17"/>
  <c r="C34" i="17"/>
  <c r="C23" i="17"/>
  <c r="C22" i="17"/>
  <c r="C17" i="17"/>
  <c r="I17" i="17"/>
  <c r="C10" i="17"/>
  <c r="C14" i="17"/>
  <c r="C36" i="17"/>
  <c r="C33" i="17"/>
  <c r="C32" i="17"/>
  <c r="C31" i="17"/>
  <c r="C30" i="17"/>
  <c r="C29" i="17"/>
  <c r="C28" i="17"/>
  <c r="C27" i="17"/>
  <c r="C26" i="17"/>
  <c r="C25" i="17"/>
  <c r="C24" i="17"/>
  <c r="C21" i="17"/>
  <c r="C20" i="17"/>
  <c r="C19" i="17"/>
  <c r="C18" i="17"/>
  <c r="C16" i="17"/>
  <c r="C15" i="17"/>
  <c r="C13" i="17"/>
  <c r="C12" i="17"/>
  <c r="C11" i="17"/>
  <c r="C9" i="17"/>
  <c r="C8" i="17"/>
  <c r="G37" i="31" l="1"/>
  <c r="F37" i="31"/>
  <c r="E37" i="31"/>
  <c r="D37" i="31"/>
  <c r="C37" i="31"/>
  <c r="B37" i="31"/>
  <c r="L37" i="24" l="1"/>
  <c r="I40" i="34" l="1"/>
  <c r="H40" i="34"/>
  <c r="C40" i="34"/>
  <c r="B40" i="34"/>
  <c r="J17" i="34"/>
  <c r="D40" i="34" l="1"/>
  <c r="I41" i="34"/>
  <c r="G40" i="34"/>
  <c r="P12" i="26" l="1"/>
  <c r="P34" i="26" l="1"/>
  <c r="P31" i="26"/>
  <c r="P25" i="26"/>
  <c r="P22" i="26" l="1"/>
  <c r="P21" i="26"/>
  <c r="P20" i="26"/>
  <c r="F40" i="34" l="1"/>
  <c r="E40" i="34" s="1"/>
  <c r="B41" i="34" l="1"/>
  <c r="C41" i="34"/>
  <c r="W28" i="24"/>
  <c r="W17" i="24"/>
  <c r="W22" i="24"/>
  <c r="W19" i="24"/>
  <c r="W31" i="24"/>
  <c r="W27" i="24"/>
  <c r="W25" i="24"/>
  <c r="W18" i="24"/>
  <c r="W9" i="24"/>
  <c r="W34" i="24"/>
  <c r="W29" i="24"/>
  <c r="W26" i="24"/>
  <c r="W14" i="24"/>
  <c r="W12" i="24"/>
  <c r="W8" i="24"/>
  <c r="W7" i="24"/>
  <c r="W6" i="24"/>
  <c r="D41" i="34" l="1"/>
  <c r="J28" i="17"/>
  <c r="J27" i="17"/>
  <c r="K27" i="17" s="1"/>
  <c r="J6" i="34" l="1"/>
  <c r="C7" i="27" s="1"/>
  <c r="J7" i="34"/>
  <c r="J8" i="34"/>
  <c r="J9" i="34"/>
  <c r="C10" i="27" s="1"/>
  <c r="J10" i="34"/>
  <c r="C11" i="27" s="1"/>
  <c r="J11" i="34"/>
  <c r="J12" i="34"/>
  <c r="C13" i="27" s="1"/>
  <c r="J13" i="34"/>
  <c r="C14" i="27" s="1"/>
  <c r="J14" i="34"/>
  <c r="J15" i="34"/>
  <c r="C15" i="27" s="1"/>
  <c r="J16" i="34"/>
  <c r="C17" i="27" s="1"/>
  <c r="J18" i="34"/>
  <c r="C19" i="27" s="1"/>
  <c r="J19" i="34"/>
  <c r="C20" i="27" s="1"/>
  <c r="J20" i="34"/>
  <c r="C23" i="27" s="1"/>
  <c r="J21" i="34"/>
  <c r="C24" i="27" s="1"/>
  <c r="J22" i="34"/>
  <c r="C25" i="27" s="1"/>
  <c r="C12" i="27" l="1"/>
  <c r="C8" i="27"/>
  <c r="V37" i="24"/>
  <c r="H41" i="34" l="1"/>
  <c r="G41" i="34" s="1"/>
  <c r="F41" i="34"/>
  <c r="E41" i="34" s="1"/>
  <c r="C34" i="15" l="1"/>
  <c r="C14" i="15"/>
  <c r="J20" i="17" l="1"/>
  <c r="J18" i="17"/>
  <c r="J17" i="17"/>
  <c r="J16" i="17"/>
  <c r="J15" i="17"/>
  <c r="J13" i="17"/>
  <c r="J12" i="17"/>
  <c r="J11" i="17"/>
  <c r="J10" i="17"/>
  <c r="J9" i="17"/>
  <c r="J8" i="17"/>
  <c r="J37" i="17" l="1"/>
  <c r="J36" i="17"/>
  <c r="J35" i="17"/>
  <c r="J34" i="17"/>
  <c r="J33" i="17"/>
  <c r="J32" i="17"/>
  <c r="J31" i="17"/>
  <c r="J30" i="17"/>
  <c r="J29" i="17"/>
  <c r="J19" i="17"/>
  <c r="J26" i="17"/>
  <c r="J25" i="17"/>
  <c r="J24" i="17"/>
  <c r="J23" i="17"/>
  <c r="J22" i="17"/>
  <c r="J21" i="17"/>
  <c r="J14" i="17"/>
  <c r="D39" i="17" l="1"/>
  <c r="J39" i="34" l="1"/>
  <c r="C36" i="27" s="1"/>
  <c r="J38" i="34"/>
  <c r="C33" i="27" s="1"/>
  <c r="J37" i="34"/>
  <c r="C34" i="27" s="1"/>
  <c r="J36" i="34"/>
  <c r="C21" i="27" s="1"/>
  <c r="J35" i="34"/>
  <c r="C22" i="27" s="1"/>
  <c r="J34" i="34"/>
  <c r="C16" i="27" s="1"/>
  <c r="J33" i="34"/>
  <c r="C18" i="27"/>
  <c r="J31" i="34"/>
  <c r="C32" i="27" s="1"/>
  <c r="J30" i="34"/>
  <c r="C31" i="27" s="1"/>
  <c r="J29" i="34"/>
  <c r="C35" i="27" s="1"/>
  <c r="J28" i="34"/>
  <c r="C30" i="27" s="1"/>
  <c r="J27" i="34"/>
  <c r="C29" i="27" s="1"/>
  <c r="J26" i="34"/>
  <c r="C28" i="27" s="1"/>
  <c r="J25" i="34"/>
  <c r="C27" i="27" s="1"/>
  <c r="J24" i="34"/>
  <c r="J23" i="34"/>
  <c r="C26" i="27" s="1"/>
  <c r="C9" i="27" l="1"/>
  <c r="J40" i="34"/>
  <c r="J32" i="34"/>
  <c r="D39" i="25"/>
  <c r="U37" i="24" l="1"/>
  <c r="D40" i="13"/>
  <c r="D42" i="13" s="1"/>
  <c r="H39" i="35"/>
  <c r="D36" i="27" s="1"/>
  <c r="E36" i="27" s="1"/>
  <c r="H35" i="24" s="1"/>
  <c r="H38" i="35"/>
  <c r="D33" i="27" s="1"/>
  <c r="H37" i="35"/>
  <c r="D34" i="27" s="1"/>
  <c r="H36" i="35"/>
  <c r="D21" i="27" s="1"/>
  <c r="H35" i="35"/>
  <c r="D22" i="27" s="1"/>
  <c r="H34" i="35"/>
  <c r="D16" i="27" s="1"/>
  <c r="E16" i="27" s="1"/>
  <c r="H15" i="24" s="1"/>
  <c r="H33" i="35"/>
  <c r="H31" i="35"/>
  <c r="D32" i="27" s="1"/>
  <c r="H30" i="35"/>
  <c r="D31" i="27" s="1"/>
  <c r="H29" i="35"/>
  <c r="D35" i="27" s="1"/>
  <c r="H28" i="35"/>
  <c r="D30" i="27" s="1"/>
  <c r="H27" i="35"/>
  <c r="D29" i="27" s="1"/>
  <c r="H26" i="35"/>
  <c r="D28" i="27" s="1"/>
  <c r="H25" i="35"/>
  <c r="D27" i="27" s="1"/>
  <c r="H24" i="35"/>
  <c r="H23" i="35"/>
  <c r="D26" i="27" s="1"/>
  <c r="H22" i="35"/>
  <c r="D25" i="27" s="1"/>
  <c r="H21" i="35"/>
  <c r="D24" i="27" s="1"/>
  <c r="H20" i="35"/>
  <c r="D23" i="27" s="1"/>
  <c r="H19" i="35"/>
  <c r="D20" i="27" s="1"/>
  <c r="H18" i="35"/>
  <c r="D19" i="27" s="1"/>
  <c r="H16" i="35"/>
  <c r="D17" i="27" s="1"/>
  <c r="H15" i="35"/>
  <c r="D15" i="27" s="1"/>
  <c r="H14" i="35"/>
  <c r="H13" i="35"/>
  <c r="D14" i="27" s="1"/>
  <c r="H12" i="35"/>
  <c r="D13" i="27" s="1"/>
  <c r="H11" i="35"/>
  <c r="H10" i="35"/>
  <c r="D11" i="27" s="1"/>
  <c r="H9" i="35"/>
  <c r="D10" i="27" s="1"/>
  <c r="H8" i="35"/>
  <c r="H7" i="35"/>
  <c r="H6" i="35"/>
  <c r="J41" i="34"/>
  <c r="C30" i="15"/>
  <c r="C28" i="15"/>
  <c r="D28" i="15" s="1"/>
  <c r="F28" i="15" s="1"/>
  <c r="K6" i="31"/>
  <c r="W37" i="24"/>
  <c r="G47" i="31"/>
  <c r="F47" i="31"/>
  <c r="E47" i="31"/>
  <c r="D47" i="31"/>
  <c r="C47" i="31"/>
  <c r="B47" i="31"/>
  <c r="K46" i="31"/>
  <c r="H46" i="31"/>
  <c r="J46" i="31" s="1"/>
  <c r="K45" i="31"/>
  <c r="H45" i="31"/>
  <c r="J45" i="31" s="1"/>
  <c r="K44" i="31"/>
  <c r="H44" i="31"/>
  <c r="J44" i="31" s="1"/>
  <c r="K43" i="31"/>
  <c r="H43" i="31"/>
  <c r="J43" i="31" s="1"/>
  <c r="K42" i="31"/>
  <c r="H42" i="31"/>
  <c r="J42" i="31" s="1"/>
  <c r="K41" i="31"/>
  <c r="H41" i="31"/>
  <c r="J41" i="31" s="1"/>
  <c r="K40" i="31"/>
  <c r="H40" i="31"/>
  <c r="J40" i="31" s="1"/>
  <c r="K36" i="31"/>
  <c r="H36" i="31"/>
  <c r="J36" i="31" s="1"/>
  <c r="K35" i="31"/>
  <c r="H35" i="31"/>
  <c r="J35" i="31" s="1"/>
  <c r="K34" i="31"/>
  <c r="H34" i="31"/>
  <c r="J34" i="31" s="1"/>
  <c r="K33" i="31"/>
  <c r="H33" i="31"/>
  <c r="J33" i="31" s="1"/>
  <c r="K32" i="31"/>
  <c r="H32" i="31"/>
  <c r="J32" i="31" s="1"/>
  <c r="K31" i="31"/>
  <c r="H31" i="31"/>
  <c r="J31" i="31" s="1"/>
  <c r="K30" i="31"/>
  <c r="H30" i="31"/>
  <c r="J30" i="31" s="1"/>
  <c r="K29" i="31"/>
  <c r="H29" i="31"/>
  <c r="J29" i="31" s="1"/>
  <c r="K28" i="31"/>
  <c r="H28" i="31"/>
  <c r="J28" i="31" s="1"/>
  <c r="K22" i="31"/>
  <c r="H22" i="31"/>
  <c r="J22" i="31" s="1"/>
  <c r="K21" i="31"/>
  <c r="H21" i="31"/>
  <c r="J21" i="31" s="1"/>
  <c r="K20" i="31"/>
  <c r="H20" i="31"/>
  <c r="J20" i="31" s="1"/>
  <c r="K19" i="31"/>
  <c r="H19" i="31"/>
  <c r="J19" i="31" s="1"/>
  <c r="K18" i="31"/>
  <c r="H18" i="31"/>
  <c r="J18" i="31" s="1"/>
  <c r="K17" i="31"/>
  <c r="H17" i="31"/>
  <c r="J17" i="31" s="1"/>
  <c r="K27" i="31"/>
  <c r="H27" i="31"/>
  <c r="J27" i="31" s="1"/>
  <c r="K26" i="31"/>
  <c r="H26" i="31"/>
  <c r="J26" i="31" s="1"/>
  <c r="K25" i="31"/>
  <c r="H25" i="31"/>
  <c r="J25" i="31" s="1"/>
  <c r="K24" i="31"/>
  <c r="H24" i="31"/>
  <c r="J24" i="31" s="1"/>
  <c r="K23" i="31"/>
  <c r="H23" i="31"/>
  <c r="J23" i="31" s="1"/>
  <c r="K16" i="31"/>
  <c r="H16" i="31"/>
  <c r="J16" i="31" s="1"/>
  <c r="K15" i="31"/>
  <c r="H15" i="31"/>
  <c r="J15" i="31" s="1"/>
  <c r="K14" i="31"/>
  <c r="H14" i="31"/>
  <c r="J14" i="31" s="1"/>
  <c r="K13" i="31"/>
  <c r="H13" i="31"/>
  <c r="J13" i="31" s="1"/>
  <c r="K12" i="31"/>
  <c r="H12" i="31"/>
  <c r="J12" i="31" s="1"/>
  <c r="K11" i="31"/>
  <c r="H11" i="31"/>
  <c r="J11" i="31" s="1"/>
  <c r="K10" i="31"/>
  <c r="H10" i="31"/>
  <c r="J10" i="31" s="1"/>
  <c r="K9" i="31"/>
  <c r="H9" i="31"/>
  <c r="J9" i="31" s="1"/>
  <c r="K8" i="31"/>
  <c r="H8" i="31"/>
  <c r="J8" i="31" s="1"/>
  <c r="K7" i="31"/>
  <c r="H7" i="31"/>
  <c r="J7" i="31" s="1"/>
  <c r="H6" i="31"/>
  <c r="D21" i="15"/>
  <c r="F21" i="15" s="1"/>
  <c r="C38" i="26"/>
  <c r="F38" i="26" s="1"/>
  <c r="C37" i="26"/>
  <c r="F37" i="26" s="1"/>
  <c r="C36" i="26"/>
  <c r="F36" i="26" s="1"/>
  <c r="C35" i="26"/>
  <c r="F35" i="26" s="1"/>
  <c r="C34" i="26"/>
  <c r="F34" i="26" s="1"/>
  <c r="C33" i="26"/>
  <c r="F33" i="26" s="1"/>
  <c r="C32" i="26"/>
  <c r="F32" i="26" s="1"/>
  <c r="C31" i="26"/>
  <c r="F31" i="26" s="1"/>
  <c r="C30" i="26"/>
  <c r="F30" i="26" s="1"/>
  <c r="C29" i="26"/>
  <c r="F29" i="26" s="1"/>
  <c r="C28" i="26"/>
  <c r="F28" i="26" s="1"/>
  <c r="C20" i="26"/>
  <c r="F20" i="26" s="1"/>
  <c r="C27" i="26"/>
  <c r="F27" i="26" s="1"/>
  <c r="C26" i="26"/>
  <c r="F26" i="26" s="1"/>
  <c r="C25" i="26"/>
  <c r="F25" i="26" s="1"/>
  <c r="C24" i="26"/>
  <c r="F24" i="26" s="1"/>
  <c r="C23" i="26"/>
  <c r="F23" i="26" s="1"/>
  <c r="C22" i="26"/>
  <c r="F22" i="26" s="1"/>
  <c r="C21" i="26"/>
  <c r="F21" i="26" s="1"/>
  <c r="C19" i="26"/>
  <c r="F19" i="26" s="1"/>
  <c r="C18" i="26"/>
  <c r="F18" i="26" s="1"/>
  <c r="C17" i="26"/>
  <c r="F17" i="26" s="1"/>
  <c r="C16" i="26"/>
  <c r="F16" i="26" s="1"/>
  <c r="C15" i="26"/>
  <c r="F15" i="26" s="1"/>
  <c r="C14" i="26"/>
  <c r="F14" i="26" s="1"/>
  <c r="C13" i="26"/>
  <c r="F13" i="26" s="1"/>
  <c r="C12" i="26"/>
  <c r="F12" i="26" s="1"/>
  <c r="C11" i="26"/>
  <c r="F11" i="26" s="1"/>
  <c r="C10" i="26"/>
  <c r="F10" i="26" s="1"/>
  <c r="C9" i="26"/>
  <c r="F9" i="26" s="1"/>
  <c r="H40" i="26"/>
  <c r="D40" i="26"/>
  <c r="P10" i="26"/>
  <c r="P40" i="26" s="1"/>
  <c r="F39" i="25"/>
  <c r="C39" i="25"/>
  <c r="E37" i="25"/>
  <c r="E36" i="25"/>
  <c r="E35" i="25"/>
  <c r="E34" i="25"/>
  <c r="E33" i="25"/>
  <c r="E32" i="25"/>
  <c r="E31" i="25"/>
  <c r="E30" i="25"/>
  <c r="E29" i="25"/>
  <c r="E28" i="25"/>
  <c r="G28" i="25" s="1"/>
  <c r="E27" i="25"/>
  <c r="E19" i="25"/>
  <c r="E26" i="25"/>
  <c r="E25" i="25"/>
  <c r="E24" i="25"/>
  <c r="E23" i="25"/>
  <c r="G23" i="25" s="1"/>
  <c r="E22" i="25"/>
  <c r="E21" i="25"/>
  <c r="E20" i="25"/>
  <c r="E18" i="25"/>
  <c r="E17" i="25"/>
  <c r="E16" i="25"/>
  <c r="E15" i="25"/>
  <c r="E14" i="25"/>
  <c r="E13" i="25"/>
  <c r="E12" i="25"/>
  <c r="E11" i="25"/>
  <c r="E10" i="25"/>
  <c r="E9" i="25"/>
  <c r="E8" i="25"/>
  <c r="F40" i="13"/>
  <c r="E38" i="13"/>
  <c r="E37" i="13"/>
  <c r="E36" i="13"/>
  <c r="E35" i="13"/>
  <c r="E34" i="13"/>
  <c r="E33" i="13"/>
  <c r="E32" i="13"/>
  <c r="E31" i="13"/>
  <c r="E30" i="13"/>
  <c r="E29" i="13"/>
  <c r="E28" i="13"/>
  <c r="E20" i="13"/>
  <c r="E27" i="13"/>
  <c r="E26" i="13"/>
  <c r="E25" i="13"/>
  <c r="E24" i="13"/>
  <c r="E23" i="13"/>
  <c r="E22" i="13"/>
  <c r="E21" i="13"/>
  <c r="E19" i="13"/>
  <c r="E18" i="13"/>
  <c r="E17" i="13"/>
  <c r="E16" i="13"/>
  <c r="E15" i="13"/>
  <c r="E14" i="13"/>
  <c r="E13" i="13"/>
  <c r="E12" i="13"/>
  <c r="E11" i="13"/>
  <c r="E10" i="13"/>
  <c r="E9" i="13"/>
  <c r="C40" i="13"/>
  <c r="C42" i="13" s="1"/>
  <c r="D29" i="15"/>
  <c r="F29" i="15" s="1"/>
  <c r="D16" i="15"/>
  <c r="F16" i="15" s="1"/>
  <c r="F8" i="20"/>
  <c r="D37" i="24"/>
  <c r="O39" i="24"/>
  <c r="N35" i="24" s="1"/>
  <c r="D9" i="15"/>
  <c r="F9" i="15" s="1"/>
  <c r="D37" i="11"/>
  <c r="C39" i="20"/>
  <c r="F33" i="20"/>
  <c r="K19" i="17"/>
  <c r="M19" i="17" s="1"/>
  <c r="E17" i="24" s="1"/>
  <c r="K8" i="17"/>
  <c r="M8" i="17" s="1"/>
  <c r="E6" i="24" s="1"/>
  <c r="K9" i="17"/>
  <c r="M9" i="17" s="1"/>
  <c r="E7" i="24" s="1"/>
  <c r="K10" i="17"/>
  <c r="M10" i="17" s="1"/>
  <c r="E8" i="24" s="1"/>
  <c r="K11" i="17"/>
  <c r="M11" i="17" s="1"/>
  <c r="E9" i="24" s="1"/>
  <c r="K12" i="17"/>
  <c r="M12" i="17" s="1"/>
  <c r="E10" i="24" s="1"/>
  <c r="K13" i="17"/>
  <c r="M13" i="17" s="1"/>
  <c r="E11" i="24" s="1"/>
  <c r="K14" i="17"/>
  <c r="M14" i="17" s="1"/>
  <c r="E12" i="24" s="1"/>
  <c r="K15" i="17"/>
  <c r="M15" i="17" s="1"/>
  <c r="E13" i="24" s="1"/>
  <c r="K16" i="17"/>
  <c r="M16" i="17" s="1"/>
  <c r="E14" i="24" s="1"/>
  <c r="K17" i="17"/>
  <c r="M17" i="17" s="1"/>
  <c r="E15" i="24" s="1"/>
  <c r="K18" i="17"/>
  <c r="M18" i="17" s="1"/>
  <c r="E16" i="24" s="1"/>
  <c r="K20" i="17"/>
  <c r="M20" i="17" s="1"/>
  <c r="E18" i="24" s="1"/>
  <c r="K21" i="17"/>
  <c r="M21" i="17" s="1"/>
  <c r="E19" i="24" s="1"/>
  <c r="K24" i="17"/>
  <c r="M24" i="17" s="1"/>
  <c r="E22" i="24" s="1"/>
  <c r="K25" i="17"/>
  <c r="M25" i="17" s="1"/>
  <c r="E23" i="24" s="1"/>
  <c r="K26" i="17"/>
  <c r="M26" i="17" s="1"/>
  <c r="E24" i="24" s="1"/>
  <c r="M27" i="17"/>
  <c r="E25" i="24" s="1"/>
  <c r="K28" i="17"/>
  <c r="M28" i="17" s="1"/>
  <c r="E26" i="24" s="1"/>
  <c r="K29" i="17"/>
  <c r="M29" i="17" s="1"/>
  <c r="E27" i="24" s="1"/>
  <c r="K30" i="17"/>
  <c r="K31" i="17"/>
  <c r="M31" i="17" s="1"/>
  <c r="E29" i="24" s="1"/>
  <c r="K32" i="17"/>
  <c r="M32" i="17" s="1"/>
  <c r="E30" i="24" s="1"/>
  <c r="K33" i="17"/>
  <c r="M33" i="17" s="1"/>
  <c r="E31" i="24" s="1"/>
  <c r="K34" i="17"/>
  <c r="M34" i="17" s="1"/>
  <c r="E32" i="24" s="1"/>
  <c r="K36" i="17"/>
  <c r="M36" i="17" s="1"/>
  <c r="E34" i="24" s="1"/>
  <c r="K37" i="17"/>
  <c r="M37" i="17" s="1"/>
  <c r="E35" i="24" s="1"/>
  <c r="K35" i="17"/>
  <c r="M35" i="17" s="1"/>
  <c r="E33" i="24" s="1"/>
  <c r="K23" i="17"/>
  <c r="M23" i="17" s="1"/>
  <c r="E21" i="24" s="1"/>
  <c r="K22" i="17"/>
  <c r="M22" i="17" s="1"/>
  <c r="E20" i="24" s="1"/>
  <c r="D10" i="15"/>
  <c r="F10" i="15" s="1"/>
  <c r="D13" i="15"/>
  <c r="F13" i="15" s="1"/>
  <c r="D14" i="15"/>
  <c r="F14" i="15" s="1"/>
  <c r="D19" i="15"/>
  <c r="F19" i="15" s="1"/>
  <c r="D22" i="15"/>
  <c r="F22" i="15" s="1"/>
  <c r="D23" i="15"/>
  <c r="F23" i="15" s="1"/>
  <c r="D24" i="15"/>
  <c r="F24" i="15" s="1"/>
  <c r="D25" i="15"/>
  <c r="F25" i="15" s="1"/>
  <c r="D20" i="15"/>
  <c r="F20" i="15" s="1"/>
  <c r="D31" i="15"/>
  <c r="F31" i="15" s="1"/>
  <c r="D36" i="15"/>
  <c r="F36" i="15" s="1"/>
  <c r="D38" i="15"/>
  <c r="F38" i="15" s="1"/>
  <c r="D11" i="15"/>
  <c r="F11" i="15" s="1"/>
  <c r="D12" i="15"/>
  <c r="F12" i="15" s="1"/>
  <c r="D15" i="15"/>
  <c r="F15" i="15" s="1"/>
  <c r="D17" i="15"/>
  <c r="F17" i="15" s="1"/>
  <c r="D18" i="15"/>
  <c r="F18" i="15" s="1"/>
  <c r="D26" i="15"/>
  <c r="F26" i="15" s="1"/>
  <c r="D27" i="15"/>
  <c r="F27" i="15" s="1"/>
  <c r="D30" i="15"/>
  <c r="F30" i="15" s="1"/>
  <c r="D32" i="15"/>
  <c r="F32" i="15" s="1"/>
  <c r="D33" i="15"/>
  <c r="F33" i="15" s="1"/>
  <c r="D35" i="15"/>
  <c r="F35" i="15" s="1"/>
  <c r="D37" i="15"/>
  <c r="F37" i="15" s="1"/>
  <c r="F37" i="20"/>
  <c r="F36" i="20"/>
  <c r="F35" i="20"/>
  <c r="F34" i="20"/>
  <c r="F32" i="20"/>
  <c r="F31" i="20"/>
  <c r="F30" i="20"/>
  <c r="F29" i="20"/>
  <c r="F28" i="20"/>
  <c r="F27" i="20"/>
  <c r="F19" i="20"/>
  <c r="F26" i="20"/>
  <c r="F25" i="20"/>
  <c r="F24" i="20"/>
  <c r="F23" i="20"/>
  <c r="F22" i="20"/>
  <c r="F21" i="20"/>
  <c r="F20" i="20"/>
  <c r="F18" i="20"/>
  <c r="F17" i="20"/>
  <c r="F16" i="20"/>
  <c r="F15" i="20"/>
  <c r="F14" i="20"/>
  <c r="F13" i="20"/>
  <c r="F12" i="20"/>
  <c r="F11" i="20"/>
  <c r="F10" i="20"/>
  <c r="F9" i="20"/>
  <c r="L39" i="17"/>
  <c r="D34" i="15"/>
  <c r="F34" i="15" s="1"/>
  <c r="A45" i="15"/>
  <c r="A42" i="20"/>
  <c r="A42" i="17"/>
  <c r="E40" i="15"/>
  <c r="I39" i="17"/>
  <c r="H39" i="17"/>
  <c r="G39" i="17"/>
  <c r="F39" i="17"/>
  <c r="E39" i="17"/>
  <c r="C39" i="17"/>
  <c r="B15" i="32"/>
  <c r="C8" i="32"/>
  <c r="B8" i="32"/>
  <c r="B12" i="32"/>
  <c r="C12" i="32"/>
  <c r="H32" i="35" l="1"/>
  <c r="G10" i="25"/>
  <c r="G14" i="25"/>
  <c r="G18" i="25"/>
  <c r="G19" i="25"/>
  <c r="G34" i="25"/>
  <c r="D34" i="20" s="1"/>
  <c r="E34" i="20" s="1"/>
  <c r="G34" i="20" s="1"/>
  <c r="G11" i="25"/>
  <c r="G15" i="25"/>
  <c r="G16" i="15" s="1"/>
  <c r="H16" i="15" s="1"/>
  <c r="G13" i="24" s="1"/>
  <c r="G20" i="25"/>
  <c r="G24" i="25"/>
  <c r="G27" i="25"/>
  <c r="G31" i="25"/>
  <c r="D31" i="20" s="1"/>
  <c r="E31" i="20" s="1"/>
  <c r="G31" i="20" s="1"/>
  <c r="G35" i="25"/>
  <c r="G8" i="25"/>
  <c r="G12" i="25"/>
  <c r="G16" i="25"/>
  <c r="L17" i="26" s="1"/>
  <c r="G21" i="25"/>
  <c r="G25" i="25"/>
  <c r="G32" i="25"/>
  <c r="G36" i="25"/>
  <c r="D36" i="20" s="1"/>
  <c r="E36" i="20" s="1"/>
  <c r="G36" i="20" s="1"/>
  <c r="G30" i="25"/>
  <c r="G9" i="25"/>
  <c r="G13" i="25"/>
  <c r="G17" i="25"/>
  <c r="L18" i="26" s="1"/>
  <c r="G22" i="25"/>
  <c r="G26" i="25"/>
  <c r="F27" i="13" s="1"/>
  <c r="H27" i="13" s="1"/>
  <c r="I24" i="24" s="1"/>
  <c r="G29" i="25"/>
  <c r="G33" i="25"/>
  <c r="L34" i="26" s="1"/>
  <c r="G37" i="25"/>
  <c r="G38" i="15" s="1"/>
  <c r="H38" i="15" s="1"/>
  <c r="G35" i="24" s="1"/>
  <c r="H37" i="31"/>
  <c r="L43" i="31"/>
  <c r="M43" i="31" s="1"/>
  <c r="K37" i="31"/>
  <c r="L46" i="31"/>
  <c r="G38" i="26" s="1"/>
  <c r="J38" i="26" s="1"/>
  <c r="K38" i="26" s="1"/>
  <c r="J6" i="31"/>
  <c r="J37" i="31" s="1"/>
  <c r="L40" i="31"/>
  <c r="M40" i="31" s="1"/>
  <c r="L26" i="31"/>
  <c r="M26" i="31" s="1"/>
  <c r="L16" i="31"/>
  <c r="M16" i="31" s="1"/>
  <c r="L13" i="31"/>
  <c r="L23" i="31"/>
  <c r="L29" i="31"/>
  <c r="M46" i="31"/>
  <c r="M30" i="17"/>
  <c r="E28" i="24" s="1"/>
  <c r="E37" i="24" s="1"/>
  <c r="L12" i="31"/>
  <c r="D25" i="20"/>
  <c r="E25" i="20" s="1"/>
  <c r="G25" i="20" s="1"/>
  <c r="N15" i="24"/>
  <c r="L18" i="31"/>
  <c r="L11" i="31"/>
  <c r="L7" i="31"/>
  <c r="L11" i="26"/>
  <c r="C40" i="15"/>
  <c r="E48" i="31"/>
  <c r="L42" i="31"/>
  <c r="L34" i="31"/>
  <c r="L32" i="31"/>
  <c r="L30" i="31"/>
  <c r="L28" i="31"/>
  <c r="L22" i="31"/>
  <c r="L21" i="31"/>
  <c r="L20" i="31"/>
  <c r="L17" i="31"/>
  <c r="L25" i="31"/>
  <c r="L9" i="31"/>
  <c r="L8" i="31"/>
  <c r="M8" i="31" s="1"/>
  <c r="J39" i="17"/>
  <c r="K39" i="17"/>
  <c r="E35" i="27"/>
  <c r="H34" i="24" s="1"/>
  <c r="E19" i="27"/>
  <c r="H18" i="24" s="1"/>
  <c r="E34" i="27"/>
  <c r="H33" i="24" s="1"/>
  <c r="E33" i="27"/>
  <c r="H32" i="24" s="1"/>
  <c r="E22" i="27"/>
  <c r="H21" i="24" s="1"/>
  <c r="E21" i="27"/>
  <c r="H20" i="24" s="1"/>
  <c r="E31" i="27"/>
  <c r="H30" i="24" s="1"/>
  <c r="E27" i="27"/>
  <c r="H26" i="24" s="1"/>
  <c r="E28" i="27"/>
  <c r="H27" i="24" s="1"/>
  <c r="E32" i="27"/>
  <c r="H31" i="24" s="1"/>
  <c r="E26" i="27"/>
  <c r="H25" i="24" s="1"/>
  <c r="E29" i="27"/>
  <c r="H28" i="24" s="1"/>
  <c r="E30" i="27"/>
  <c r="H29" i="24" s="1"/>
  <c r="C38" i="27"/>
  <c r="E20" i="27"/>
  <c r="H19" i="24" s="1"/>
  <c r="E14" i="27"/>
  <c r="H13" i="24" s="1"/>
  <c r="E10" i="27"/>
  <c r="H9" i="24" s="1"/>
  <c r="E24" i="27"/>
  <c r="H23" i="24" s="1"/>
  <c r="E13" i="27"/>
  <c r="H12" i="24" s="1"/>
  <c r="E17" i="27"/>
  <c r="H16" i="24" s="1"/>
  <c r="E11" i="27"/>
  <c r="H10" i="24" s="1"/>
  <c r="E15" i="27"/>
  <c r="H14" i="24" s="1"/>
  <c r="E25" i="27"/>
  <c r="H24" i="24" s="1"/>
  <c r="E23" i="27"/>
  <c r="H22" i="24" s="1"/>
  <c r="D12" i="27"/>
  <c r="E12" i="27" s="1"/>
  <c r="H11" i="24" s="1"/>
  <c r="D7" i="27"/>
  <c r="D8" i="27"/>
  <c r="E8" i="27" s="1"/>
  <c r="H7" i="24" s="1"/>
  <c r="D9" i="27"/>
  <c r="E9" i="27" s="1"/>
  <c r="H8" i="24" s="1"/>
  <c r="H40" i="35"/>
  <c r="G48" i="31"/>
  <c r="F48" i="31"/>
  <c r="L35" i="31"/>
  <c r="L27" i="31"/>
  <c r="L45" i="31"/>
  <c r="L44" i="31"/>
  <c r="H47" i="31"/>
  <c r="L41" i="31"/>
  <c r="J47" i="31"/>
  <c r="D48" i="31"/>
  <c r="L36" i="31"/>
  <c r="L33" i="31"/>
  <c r="L31" i="31"/>
  <c r="L19" i="31"/>
  <c r="L24" i="31"/>
  <c r="L15" i="31"/>
  <c r="L14" i="31"/>
  <c r="M14" i="31" s="1"/>
  <c r="L10" i="31"/>
  <c r="K47" i="31"/>
  <c r="C48" i="31"/>
  <c r="B48" i="31"/>
  <c r="N28" i="24"/>
  <c r="E40" i="13"/>
  <c r="D40" i="15"/>
  <c r="F40" i="15"/>
  <c r="F39" i="20"/>
  <c r="F40" i="26"/>
  <c r="C40" i="26"/>
  <c r="L37" i="26"/>
  <c r="G35" i="15"/>
  <c r="H35" i="15" s="1"/>
  <c r="G32" i="24" s="1"/>
  <c r="L35" i="26"/>
  <c r="L33" i="26"/>
  <c r="D23" i="20"/>
  <c r="E23" i="20" s="1"/>
  <c r="G23" i="20" s="1"/>
  <c r="F24" i="13"/>
  <c r="H24" i="13" s="1"/>
  <c r="I21" i="24" s="1"/>
  <c r="L24" i="26"/>
  <c r="G24" i="15"/>
  <c r="H24" i="15" s="1"/>
  <c r="G21" i="24" s="1"/>
  <c r="D18" i="20"/>
  <c r="E18" i="20" s="1"/>
  <c r="G18" i="20" s="1"/>
  <c r="F19" i="13"/>
  <c r="H19" i="13" s="1"/>
  <c r="I16" i="24" s="1"/>
  <c r="L15" i="26"/>
  <c r="G37" i="15"/>
  <c r="H37" i="15" s="1"/>
  <c r="G34" i="24" s="1"/>
  <c r="F37" i="13"/>
  <c r="H37" i="13" s="1"/>
  <c r="I34" i="24" s="1"/>
  <c r="G30" i="15"/>
  <c r="H30" i="15" s="1"/>
  <c r="G27" i="24" s="1"/>
  <c r="L27" i="26"/>
  <c r="F26" i="13"/>
  <c r="H26" i="13" s="1"/>
  <c r="I23" i="24" s="1"/>
  <c r="L26" i="26"/>
  <c r="G26" i="15"/>
  <c r="H26" i="15" s="1"/>
  <c r="G23" i="24" s="1"/>
  <c r="L19" i="26"/>
  <c r="G19" i="15"/>
  <c r="H19" i="15" s="1"/>
  <c r="G16" i="24" s="1"/>
  <c r="E39" i="25"/>
  <c r="G39" i="25" s="1"/>
  <c r="G40" i="15" s="1"/>
  <c r="F11" i="13"/>
  <c r="H11" i="13" s="1"/>
  <c r="I8" i="24" s="1"/>
  <c r="G11" i="15"/>
  <c r="H11" i="15" s="1"/>
  <c r="G8" i="24" s="1"/>
  <c r="D10" i="20"/>
  <c r="E10" i="20" s="1"/>
  <c r="G10" i="20" s="1"/>
  <c r="L10" i="26"/>
  <c r="F10" i="13"/>
  <c r="H10" i="13" s="1"/>
  <c r="I7" i="24" s="1"/>
  <c r="G10" i="15"/>
  <c r="H10" i="15" s="1"/>
  <c r="G7" i="24" s="1"/>
  <c r="F9" i="13"/>
  <c r="H9" i="13" s="1"/>
  <c r="G9" i="15"/>
  <c r="H9" i="15" s="1"/>
  <c r="D8" i="20"/>
  <c r="E8" i="20" s="1"/>
  <c r="L9" i="26"/>
  <c r="N13" i="24"/>
  <c r="N22" i="24"/>
  <c r="N29" i="24"/>
  <c r="N11" i="24"/>
  <c r="N20" i="24"/>
  <c r="N27" i="24"/>
  <c r="N6" i="24"/>
  <c r="N14" i="24"/>
  <c r="N8" i="24"/>
  <c r="N16" i="24"/>
  <c r="N17" i="24"/>
  <c r="N32" i="24"/>
  <c r="N10" i="24"/>
  <c r="N25" i="24"/>
  <c r="N18" i="24"/>
  <c r="N30" i="24"/>
  <c r="N23" i="24"/>
  <c r="N34" i="24"/>
  <c r="N7" i="24"/>
  <c r="N26" i="24"/>
  <c r="N19" i="24"/>
  <c r="N31" i="24"/>
  <c r="N12" i="24"/>
  <c r="N33" i="24"/>
  <c r="N24" i="24"/>
  <c r="N21" i="24"/>
  <c r="N9" i="24"/>
  <c r="C15" i="32"/>
  <c r="D16" i="20" l="1"/>
  <c r="E16" i="20" s="1"/>
  <c r="G16" i="20" s="1"/>
  <c r="F17" i="13"/>
  <c r="H17" i="13" s="1"/>
  <c r="I14" i="24" s="1"/>
  <c r="G17" i="15"/>
  <c r="H17" i="15" s="1"/>
  <c r="G14" i="24" s="1"/>
  <c r="G18" i="15"/>
  <c r="H18" i="15" s="1"/>
  <c r="G15" i="24" s="1"/>
  <c r="D17" i="20"/>
  <c r="E17" i="20" s="1"/>
  <c r="G17" i="20" s="1"/>
  <c r="F18" i="13"/>
  <c r="H18" i="13" s="1"/>
  <c r="I15" i="24" s="1"/>
  <c r="G10" i="26"/>
  <c r="L13" i="26"/>
  <c r="G12" i="15"/>
  <c r="H12" i="15" s="1"/>
  <c r="G9" i="24" s="1"/>
  <c r="G27" i="15"/>
  <c r="H27" i="15" s="1"/>
  <c r="G24" i="24" s="1"/>
  <c r="L23" i="26"/>
  <c r="D26" i="20"/>
  <c r="E26" i="20" s="1"/>
  <c r="G26" i="20" s="1"/>
  <c r="F38" i="13"/>
  <c r="H38" i="13" s="1"/>
  <c r="I35" i="24" s="1"/>
  <c r="D35" i="20"/>
  <c r="E35" i="20" s="1"/>
  <c r="G35" i="20" s="1"/>
  <c r="D33" i="20"/>
  <c r="E33" i="20" s="1"/>
  <c r="G33" i="20" s="1"/>
  <c r="D27" i="20"/>
  <c r="E27" i="20" s="1"/>
  <c r="G27" i="20" s="1"/>
  <c r="L31" i="26"/>
  <c r="F20" i="13"/>
  <c r="H20" i="13" s="1"/>
  <c r="I17" i="24" s="1"/>
  <c r="D24" i="20"/>
  <c r="E24" i="20" s="1"/>
  <c r="G24" i="20" s="1"/>
  <c r="F25" i="13"/>
  <c r="H25" i="13" s="1"/>
  <c r="I22" i="24" s="1"/>
  <c r="F35" i="13"/>
  <c r="H35" i="13" s="1"/>
  <c r="I32" i="24" s="1"/>
  <c r="G32" i="15"/>
  <c r="H32" i="15" s="1"/>
  <c r="G29" i="24" s="1"/>
  <c r="G33" i="15"/>
  <c r="H33" i="15" s="1"/>
  <c r="G30" i="24" s="1"/>
  <c r="D14" i="20"/>
  <c r="E14" i="20" s="1"/>
  <c r="G14" i="20" s="1"/>
  <c r="L30" i="26"/>
  <c r="F34" i="13"/>
  <c r="H34" i="13" s="1"/>
  <c r="I31" i="24" s="1"/>
  <c r="G34" i="15"/>
  <c r="H34" i="15" s="1"/>
  <c r="G31" i="24" s="1"/>
  <c r="G25" i="15"/>
  <c r="H25" i="15" s="1"/>
  <c r="G22" i="24" s="1"/>
  <c r="D11" i="20"/>
  <c r="E11" i="20" s="1"/>
  <c r="G11" i="20" s="1"/>
  <c r="D9" i="20"/>
  <c r="E9" i="20" s="1"/>
  <c r="G9" i="20" s="1"/>
  <c r="F22" i="13"/>
  <c r="H22" i="13" s="1"/>
  <c r="I19" i="24" s="1"/>
  <c r="F32" i="13"/>
  <c r="H32" i="13" s="1"/>
  <c r="I29" i="24" s="1"/>
  <c r="F21" i="13"/>
  <c r="H21" i="13" s="1"/>
  <c r="I18" i="24" s="1"/>
  <c r="L32" i="26"/>
  <c r="F16" i="13"/>
  <c r="H16" i="13" s="1"/>
  <c r="I13" i="24" s="1"/>
  <c r="G14" i="15"/>
  <c r="H14" i="15" s="1"/>
  <c r="G11" i="24" s="1"/>
  <c r="L25" i="26"/>
  <c r="L16" i="26"/>
  <c r="D15" i="20"/>
  <c r="E15" i="20" s="1"/>
  <c r="G15" i="20" s="1"/>
  <c r="D20" i="20"/>
  <c r="E20" i="20" s="1"/>
  <c r="G20" i="20" s="1"/>
  <c r="L20" i="26"/>
  <c r="D37" i="20"/>
  <c r="E37" i="20" s="1"/>
  <c r="G37" i="20" s="1"/>
  <c r="D19" i="20"/>
  <c r="E19" i="20" s="1"/>
  <c r="G19" i="20" s="1"/>
  <c r="F36" i="13"/>
  <c r="H36" i="13" s="1"/>
  <c r="I33" i="24" s="1"/>
  <c r="G13" i="15"/>
  <c r="H13" i="15" s="1"/>
  <c r="G10" i="24" s="1"/>
  <c r="L12" i="26"/>
  <c r="F13" i="13"/>
  <c r="H13" i="13" s="1"/>
  <c r="I10" i="24" s="1"/>
  <c r="L21" i="26"/>
  <c r="G22" i="15"/>
  <c r="H22" i="15" s="1"/>
  <c r="G19" i="24" s="1"/>
  <c r="G20" i="15"/>
  <c r="H20" i="15" s="1"/>
  <c r="G17" i="24" s="1"/>
  <c r="D32" i="20"/>
  <c r="E32" i="20" s="1"/>
  <c r="G32" i="20" s="1"/>
  <c r="G36" i="15"/>
  <c r="H36" i="15" s="1"/>
  <c r="G33" i="24" s="1"/>
  <c r="F14" i="13"/>
  <c r="H14" i="13" s="1"/>
  <c r="I11" i="24" s="1"/>
  <c r="G15" i="15"/>
  <c r="H15" i="15" s="1"/>
  <c r="G12" i="24" s="1"/>
  <c r="D21" i="20"/>
  <c r="E21" i="20" s="1"/>
  <c r="G21" i="20" s="1"/>
  <c r="F31" i="13"/>
  <c r="H31" i="13" s="1"/>
  <c r="I28" i="24" s="1"/>
  <c r="F33" i="13"/>
  <c r="H33" i="13" s="1"/>
  <c r="I30" i="24" s="1"/>
  <c r="L14" i="26"/>
  <c r="G28" i="15"/>
  <c r="H28" i="15" s="1"/>
  <c r="G25" i="24" s="1"/>
  <c r="D12" i="20"/>
  <c r="E12" i="20" s="1"/>
  <c r="G12" i="20" s="1"/>
  <c r="L28" i="26"/>
  <c r="F12" i="13"/>
  <c r="H12" i="13" s="1"/>
  <c r="I9" i="24" s="1"/>
  <c r="G21" i="15"/>
  <c r="H21" i="15" s="1"/>
  <c r="G18" i="24" s="1"/>
  <c r="L22" i="26"/>
  <c r="F30" i="13"/>
  <c r="H30" i="13" s="1"/>
  <c r="I27" i="24" s="1"/>
  <c r="D13" i="20"/>
  <c r="E13" i="20" s="1"/>
  <c r="G13" i="20" s="1"/>
  <c r="F15" i="13"/>
  <c r="H15" i="13" s="1"/>
  <c r="I12" i="24" s="1"/>
  <c r="G23" i="15"/>
  <c r="H23" i="15" s="1"/>
  <c r="G20" i="24" s="1"/>
  <c r="G31" i="15"/>
  <c r="H31" i="15" s="1"/>
  <c r="G28" i="24" s="1"/>
  <c r="L36" i="26"/>
  <c r="F28" i="13"/>
  <c r="H28" i="13" s="1"/>
  <c r="I25" i="24" s="1"/>
  <c r="D29" i="20"/>
  <c r="E29" i="20" s="1"/>
  <c r="G29" i="20" s="1"/>
  <c r="F23" i="13"/>
  <c r="H23" i="13" s="1"/>
  <c r="I20" i="24" s="1"/>
  <c r="D22" i="20"/>
  <c r="E22" i="20" s="1"/>
  <c r="G22" i="20" s="1"/>
  <c r="D30" i="20"/>
  <c r="E30" i="20" s="1"/>
  <c r="G30" i="20" s="1"/>
  <c r="L38" i="26"/>
  <c r="M38" i="26" s="1"/>
  <c r="Q38" i="26" s="1"/>
  <c r="D28" i="20"/>
  <c r="E28" i="20" s="1"/>
  <c r="G28" i="20" s="1"/>
  <c r="D18" i="27"/>
  <c r="E18" i="27" s="1"/>
  <c r="H17" i="24" s="1"/>
  <c r="H41" i="35"/>
  <c r="G23" i="26"/>
  <c r="J23" i="26" s="1"/>
  <c r="K23" i="26" s="1"/>
  <c r="G26" i="26"/>
  <c r="J26" i="26" s="1"/>
  <c r="K26" i="26" s="1"/>
  <c r="M26" i="26" s="1"/>
  <c r="Q26" i="26" s="1"/>
  <c r="G11" i="26"/>
  <c r="J11" i="26" s="1"/>
  <c r="K11" i="26" s="1"/>
  <c r="M11" i="26" s="1"/>
  <c r="Q11" i="26" s="1"/>
  <c r="L6" i="31"/>
  <c r="L37" i="31" s="1"/>
  <c r="M37" i="31" s="1"/>
  <c r="G19" i="26"/>
  <c r="J19" i="26" s="1"/>
  <c r="K19" i="26" s="1"/>
  <c r="M19" i="26" s="1"/>
  <c r="Q19" i="26" s="1"/>
  <c r="M39" i="17"/>
  <c r="F29" i="13"/>
  <c r="H29" i="13" s="1"/>
  <c r="I26" i="24" s="1"/>
  <c r="L29" i="26"/>
  <c r="G29" i="15"/>
  <c r="H29" i="15" s="1"/>
  <c r="G26" i="24" s="1"/>
  <c r="M33" i="31"/>
  <c r="G32" i="26"/>
  <c r="J32" i="26" s="1"/>
  <c r="K32" i="26" s="1"/>
  <c r="M32" i="26" s="1"/>
  <c r="Q32" i="26" s="1"/>
  <c r="M27" i="31"/>
  <c r="G27" i="26"/>
  <c r="J27" i="26" s="1"/>
  <c r="K27" i="26" s="1"/>
  <c r="M27" i="26" s="1"/>
  <c r="Q27" i="26" s="1"/>
  <c r="M30" i="31"/>
  <c r="G29" i="26"/>
  <c r="J29" i="26" s="1"/>
  <c r="K29" i="26" s="1"/>
  <c r="M7" i="31"/>
  <c r="J10" i="26"/>
  <c r="M12" i="31"/>
  <c r="G15" i="26"/>
  <c r="J15" i="26" s="1"/>
  <c r="K15" i="26" s="1"/>
  <c r="M15" i="26" s="1"/>
  <c r="Q15" i="26" s="1"/>
  <c r="M36" i="31"/>
  <c r="G34" i="26"/>
  <c r="J34" i="26" s="1"/>
  <c r="K34" i="26" s="1"/>
  <c r="M34" i="26" s="1"/>
  <c r="Q34" i="26" s="1"/>
  <c r="M28" i="31"/>
  <c r="G28" i="26"/>
  <c r="J28" i="26" s="1"/>
  <c r="K28" i="26" s="1"/>
  <c r="M15" i="31"/>
  <c r="G17" i="26"/>
  <c r="J17" i="26" s="1"/>
  <c r="K17" i="26" s="1"/>
  <c r="M17" i="26" s="1"/>
  <c r="Q17" i="26" s="1"/>
  <c r="M41" i="31"/>
  <c r="G18" i="26"/>
  <c r="J18" i="26" s="1"/>
  <c r="K18" i="26" s="1"/>
  <c r="M18" i="26" s="1"/>
  <c r="Q18" i="26" s="1"/>
  <c r="M9" i="31"/>
  <c r="G12" i="26"/>
  <c r="J12" i="26" s="1"/>
  <c r="K12" i="26" s="1"/>
  <c r="M12" i="26" s="1"/>
  <c r="Q12" i="26" s="1"/>
  <c r="M32" i="31"/>
  <c r="G31" i="26"/>
  <c r="J31" i="26" s="1"/>
  <c r="K31" i="26" s="1"/>
  <c r="M31" i="26" s="1"/>
  <c r="Q31" i="26" s="1"/>
  <c r="M11" i="31"/>
  <c r="G14" i="26"/>
  <c r="J14" i="26" s="1"/>
  <c r="M10" i="31"/>
  <c r="G13" i="26"/>
  <c r="J13" i="26" s="1"/>
  <c r="K13" i="26" s="1"/>
  <c r="M13" i="26" s="1"/>
  <c r="Q13" i="26" s="1"/>
  <c r="M25" i="31"/>
  <c r="G25" i="26"/>
  <c r="J25" i="26" s="1"/>
  <c r="K25" i="26" s="1"/>
  <c r="M35" i="31"/>
  <c r="G33" i="26"/>
  <c r="J33" i="26" s="1"/>
  <c r="K33" i="26" s="1"/>
  <c r="M33" i="26" s="1"/>
  <c r="Q33" i="26" s="1"/>
  <c r="M24" i="31"/>
  <c r="G22" i="26"/>
  <c r="J22" i="26" s="1"/>
  <c r="K22" i="26" s="1"/>
  <c r="M34" i="31"/>
  <c r="G37" i="26"/>
  <c r="J37" i="26" s="1"/>
  <c r="K37" i="26" s="1"/>
  <c r="M37" i="26" s="1"/>
  <c r="Q37" i="26" s="1"/>
  <c r="M29" i="31"/>
  <c r="M44" i="31"/>
  <c r="G36" i="26"/>
  <c r="J36" i="26" s="1"/>
  <c r="K36" i="26" s="1"/>
  <c r="M17" i="31"/>
  <c r="G20" i="26"/>
  <c r="J20" i="26" s="1"/>
  <c r="K20" i="26" s="1"/>
  <c r="M42" i="31"/>
  <c r="G24" i="26"/>
  <c r="J24" i="26" s="1"/>
  <c r="K24" i="26" s="1"/>
  <c r="M24" i="26" s="1"/>
  <c r="Q24" i="26" s="1"/>
  <c r="M23" i="31"/>
  <c r="G21" i="26"/>
  <c r="J21" i="26" s="1"/>
  <c r="K21" i="26" s="1"/>
  <c r="M31" i="31"/>
  <c r="G30" i="26"/>
  <c r="J30" i="26" s="1"/>
  <c r="K30" i="26" s="1"/>
  <c r="M45" i="31"/>
  <c r="G35" i="26"/>
  <c r="J35" i="26" s="1"/>
  <c r="K35" i="26" s="1"/>
  <c r="M35" i="26" s="1"/>
  <c r="Q35" i="26" s="1"/>
  <c r="M13" i="31"/>
  <c r="G16" i="26"/>
  <c r="J16" i="26" s="1"/>
  <c r="K16" i="26" s="1"/>
  <c r="K48" i="31"/>
  <c r="E7" i="27"/>
  <c r="H6" i="24" s="1"/>
  <c r="J48" i="31"/>
  <c r="L47" i="31"/>
  <c r="M47" i="31" s="1"/>
  <c r="H48" i="31"/>
  <c r="I36" i="31" s="1"/>
  <c r="L40" i="26"/>
  <c r="D39" i="20"/>
  <c r="G8" i="20"/>
  <c r="G6" i="24"/>
  <c r="I6" i="24"/>
  <c r="N37" i="24"/>
  <c r="M30" i="26" l="1"/>
  <c r="Q30" i="26" s="1"/>
  <c r="M21" i="26"/>
  <c r="Q21" i="26" s="1"/>
  <c r="M22" i="26"/>
  <c r="Q22" i="26" s="1"/>
  <c r="M36" i="26"/>
  <c r="Q36" i="26" s="1"/>
  <c r="M16" i="26"/>
  <c r="Q16" i="26" s="1"/>
  <c r="M25" i="26"/>
  <c r="Q25" i="26" s="1"/>
  <c r="S25" i="26" s="1"/>
  <c r="F22" i="24" s="1"/>
  <c r="J22" i="24" s="1"/>
  <c r="H37" i="24"/>
  <c r="M20" i="26"/>
  <c r="Q20" i="26" s="1"/>
  <c r="G9" i="26"/>
  <c r="M6" i="31"/>
  <c r="M23" i="26"/>
  <c r="Q23" i="26" s="1"/>
  <c r="S23" i="26" s="1"/>
  <c r="F20" i="24" s="1"/>
  <c r="J20" i="24" s="1"/>
  <c r="M28" i="26"/>
  <c r="Q28" i="26" s="1"/>
  <c r="S28" i="26" s="1"/>
  <c r="F25" i="24" s="1"/>
  <c r="J25" i="24" s="1"/>
  <c r="E39" i="20"/>
  <c r="G39" i="20" s="1"/>
  <c r="H40" i="13"/>
  <c r="I37" i="24"/>
  <c r="K10" i="26"/>
  <c r="M10" i="26" s="1"/>
  <c r="Q10" i="26" s="1"/>
  <c r="S10" i="26" s="1"/>
  <c r="F7" i="24" s="1"/>
  <c r="J7" i="24" s="1"/>
  <c r="G37" i="24"/>
  <c r="D38" i="27"/>
  <c r="K14" i="26"/>
  <c r="M14" i="26" s="1"/>
  <c r="Q14" i="26" s="1"/>
  <c r="S14" i="26" s="1"/>
  <c r="F11" i="24" s="1"/>
  <c r="J11" i="24" s="1"/>
  <c r="M29" i="26"/>
  <c r="Q29" i="26" s="1"/>
  <c r="S29" i="26" s="1"/>
  <c r="F26" i="24" s="1"/>
  <c r="J26" i="24" s="1"/>
  <c r="H40" i="15"/>
  <c r="S38" i="26"/>
  <c r="F35" i="24" s="1"/>
  <c r="J35" i="24" s="1"/>
  <c r="S37" i="26"/>
  <c r="F34" i="24" s="1"/>
  <c r="J34" i="24" s="1"/>
  <c r="S36" i="26"/>
  <c r="F33" i="24" s="1"/>
  <c r="J33" i="24" s="1"/>
  <c r="S35" i="26"/>
  <c r="F32" i="24" s="1"/>
  <c r="J32" i="24" s="1"/>
  <c r="S34" i="26"/>
  <c r="F31" i="24" s="1"/>
  <c r="J31" i="24" s="1"/>
  <c r="S33" i="26"/>
  <c r="F30" i="24" s="1"/>
  <c r="J30" i="24" s="1"/>
  <c r="S32" i="26"/>
  <c r="F29" i="24" s="1"/>
  <c r="J29" i="24" s="1"/>
  <c r="S31" i="26"/>
  <c r="F28" i="24" s="1"/>
  <c r="J28" i="24" s="1"/>
  <c r="S30" i="26"/>
  <c r="F27" i="24" s="1"/>
  <c r="J27" i="24" s="1"/>
  <c r="S27" i="26"/>
  <c r="F24" i="24" s="1"/>
  <c r="J24" i="24" s="1"/>
  <c r="S26" i="26"/>
  <c r="F23" i="24" s="1"/>
  <c r="J23" i="24" s="1"/>
  <c r="S24" i="26"/>
  <c r="F21" i="24" s="1"/>
  <c r="J21" i="24" s="1"/>
  <c r="S22" i="26"/>
  <c r="F19" i="24" s="1"/>
  <c r="J19" i="24" s="1"/>
  <c r="S21" i="26"/>
  <c r="F18" i="24" s="1"/>
  <c r="J18" i="24" s="1"/>
  <c r="S20" i="26"/>
  <c r="F17" i="24" s="1"/>
  <c r="S19" i="26"/>
  <c r="F16" i="24" s="1"/>
  <c r="J16" i="24" s="1"/>
  <c r="S18" i="26"/>
  <c r="F15" i="24" s="1"/>
  <c r="J15" i="24" s="1"/>
  <c r="S17" i="26"/>
  <c r="F14" i="24" s="1"/>
  <c r="J14" i="24" s="1"/>
  <c r="S16" i="26"/>
  <c r="F13" i="24" s="1"/>
  <c r="J13" i="24" s="1"/>
  <c r="S15" i="26"/>
  <c r="F12" i="24" s="1"/>
  <c r="J12" i="24" s="1"/>
  <c r="S13" i="26"/>
  <c r="F10" i="24" s="1"/>
  <c r="J10" i="24" s="1"/>
  <c r="S12" i="26"/>
  <c r="F9" i="24" s="1"/>
  <c r="J9" i="24" s="1"/>
  <c r="S11" i="26"/>
  <c r="F8" i="24" s="1"/>
  <c r="J8" i="24" s="1"/>
  <c r="G40" i="26"/>
  <c r="J9" i="26"/>
  <c r="J40" i="26" s="1"/>
  <c r="I32" i="31"/>
  <c r="E38" i="27"/>
  <c r="I42" i="31"/>
  <c r="I10" i="31"/>
  <c r="I9" i="31"/>
  <c r="I8" i="31"/>
  <c r="L48" i="31"/>
  <c r="M48" i="31" s="1"/>
  <c r="I16" i="31"/>
  <c r="I27" i="31"/>
  <c r="I13" i="31"/>
  <c r="I33" i="31"/>
  <c r="I23" i="31"/>
  <c r="I25" i="31"/>
  <c r="I29" i="31"/>
  <c r="I43" i="31"/>
  <c r="I15" i="31"/>
  <c r="I31" i="31"/>
  <c r="I46" i="31"/>
  <c r="I22" i="31"/>
  <c r="I44" i="31"/>
  <c r="I41" i="31"/>
  <c r="I26" i="31"/>
  <c r="I30" i="31"/>
  <c r="I21" i="31"/>
  <c r="I35" i="31"/>
  <c r="I7" i="31"/>
  <c r="I34" i="31"/>
  <c r="I24" i="31"/>
  <c r="I45" i="31"/>
  <c r="I40" i="31"/>
  <c r="I19" i="31"/>
  <c r="I18" i="31"/>
  <c r="I20" i="31"/>
  <c r="I28" i="31"/>
  <c r="I6" i="31"/>
  <c r="I11" i="31"/>
  <c r="I12" i="31"/>
  <c r="I14" i="31"/>
  <c r="J17" i="24" l="1"/>
  <c r="K9" i="26"/>
  <c r="I47" i="31"/>
  <c r="I17" i="31"/>
  <c r="I37" i="31" s="1"/>
  <c r="K40" i="26" l="1"/>
  <c r="M9" i="26"/>
  <c r="I48" i="31"/>
  <c r="Q9" i="26" l="1"/>
  <c r="R40" i="26" s="1"/>
  <c r="M40" i="26"/>
  <c r="Q40" i="26" l="1"/>
  <c r="S9" i="26"/>
  <c r="F6" i="24" l="1"/>
  <c r="F37" i="24" s="1"/>
  <c r="S40" i="26"/>
  <c r="B6" i="32"/>
  <c r="J6" i="24" l="1"/>
  <c r="B9" i="32"/>
  <c r="J37" i="24" l="1"/>
  <c r="B11" i="32"/>
  <c r="K6" i="24" l="1"/>
  <c r="O6" i="24" s="1"/>
  <c r="K31" i="24"/>
  <c r="O31" i="24" s="1"/>
  <c r="P31" i="24" s="1"/>
  <c r="K28" i="24"/>
  <c r="O28" i="24" s="1"/>
  <c r="P28" i="24" s="1"/>
  <c r="K8" i="24"/>
  <c r="O8" i="24" s="1"/>
  <c r="P8" i="24" s="1"/>
  <c r="K16" i="24"/>
  <c r="O16" i="24" s="1"/>
  <c r="P16" i="24" s="1"/>
  <c r="K27" i="24"/>
  <c r="O27" i="24" s="1"/>
  <c r="P27" i="24" s="1"/>
  <c r="K35" i="24"/>
  <c r="O35" i="24" s="1"/>
  <c r="P35" i="24" s="1"/>
  <c r="K21" i="24"/>
  <c r="O21" i="24" s="1"/>
  <c r="P21" i="24" s="1"/>
  <c r="K22" i="24"/>
  <c r="O22" i="24" s="1"/>
  <c r="P22" i="24" s="1"/>
  <c r="K23" i="24"/>
  <c r="O23" i="24" s="1"/>
  <c r="P23" i="24" s="1"/>
  <c r="K17" i="24"/>
  <c r="O17" i="24" s="1"/>
  <c r="P17" i="24" s="1"/>
  <c r="K18" i="24"/>
  <c r="O18" i="24" s="1"/>
  <c r="P18" i="24" s="1"/>
  <c r="K10" i="24"/>
  <c r="O10" i="24" s="1"/>
  <c r="P10" i="24" s="1"/>
  <c r="K13" i="24"/>
  <c r="O13" i="24" s="1"/>
  <c r="P13" i="24" s="1"/>
  <c r="K15" i="24"/>
  <c r="O15" i="24" s="1"/>
  <c r="P15" i="24" s="1"/>
  <c r="K11" i="24"/>
  <c r="O11" i="24" s="1"/>
  <c r="P11" i="24" s="1"/>
  <c r="K7" i="24"/>
  <c r="O7" i="24" s="1"/>
  <c r="P7" i="24" s="1"/>
  <c r="K34" i="24"/>
  <c r="O34" i="24" s="1"/>
  <c r="P34" i="24" s="1"/>
  <c r="K14" i="24"/>
  <c r="O14" i="24" s="1"/>
  <c r="P14" i="24" s="1"/>
  <c r="K32" i="24"/>
  <c r="O32" i="24" s="1"/>
  <c r="P32" i="24" s="1"/>
  <c r="K29" i="24"/>
  <c r="O29" i="24" s="1"/>
  <c r="P29" i="24" s="1"/>
  <c r="K25" i="24"/>
  <c r="O25" i="24" s="1"/>
  <c r="P25" i="24" s="1"/>
  <c r="K19" i="24"/>
  <c r="O19" i="24" s="1"/>
  <c r="P19" i="24" s="1"/>
  <c r="K24" i="24"/>
  <c r="O24" i="24" s="1"/>
  <c r="P24" i="24" s="1"/>
  <c r="K12" i="24"/>
  <c r="O12" i="24" s="1"/>
  <c r="P12" i="24" s="1"/>
  <c r="K30" i="24"/>
  <c r="O30" i="24" s="1"/>
  <c r="P30" i="24" s="1"/>
  <c r="K20" i="24"/>
  <c r="O20" i="24" s="1"/>
  <c r="P20" i="24" s="1"/>
  <c r="K26" i="24"/>
  <c r="O26" i="24" s="1"/>
  <c r="P26" i="24" s="1"/>
  <c r="K9" i="24"/>
  <c r="O9" i="24" s="1"/>
  <c r="P9" i="24" s="1"/>
  <c r="K33" i="24"/>
  <c r="O33" i="24" s="1"/>
  <c r="P33" i="24" s="1"/>
  <c r="C9" i="32"/>
  <c r="C11" i="32"/>
  <c r="C6" i="32"/>
  <c r="R23" i="24" l="1"/>
  <c r="S23" i="24" s="1"/>
  <c r="R15" i="24"/>
  <c r="S15" i="24" s="1"/>
  <c r="R25" i="24"/>
  <c r="S25" i="24" s="1"/>
  <c r="R29" i="24"/>
  <c r="S29" i="24" s="1"/>
  <c r="R26" i="24"/>
  <c r="S26" i="24" s="1"/>
  <c r="R28" i="24"/>
  <c r="S28" i="24" s="1"/>
  <c r="R30" i="24"/>
  <c r="S30" i="24" s="1"/>
  <c r="R34" i="24"/>
  <c r="S34" i="24" s="1"/>
  <c r="R31" i="24"/>
  <c r="S31" i="24" s="1"/>
  <c r="R19" i="24"/>
  <c r="S19" i="24" s="1"/>
  <c r="R33" i="24"/>
  <c r="S33" i="24" s="1"/>
  <c r="R27" i="24"/>
  <c r="S27" i="24" s="1"/>
  <c r="R10" i="24"/>
  <c r="S10" i="24" s="1"/>
  <c r="R32" i="24"/>
  <c r="S32" i="24" s="1"/>
  <c r="R8" i="24"/>
  <c r="R17" i="24"/>
  <c r="S17" i="24" s="1"/>
  <c r="R12" i="24"/>
  <c r="S12" i="24" s="1"/>
  <c r="R7" i="24"/>
  <c r="S7" i="24" s="1"/>
  <c r="R22" i="24"/>
  <c r="S22" i="24" s="1"/>
  <c r="K37" i="24"/>
  <c r="R35" i="24"/>
  <c r="R13" i="24"/>
  <c r="S13" i="24" s="1"/>
  <c r="R9" i="24"/>
  <c r="S9" i="24" s="1"/>
  <c r="R16" i="24"/>
  <c r="S16" i="24" s="1"/>
  <c r="R18" i="24"/>
  <c r="S18" i="24" s="1"/>
  <c r="R20" i="24"/>
  <c r="S20" i="24" s="1"/>
  <c r="R14" i="24"/>
  <c r="S14" i="24" s="1"/>
  <c r="R24" i="24"/>
  <c r="S24" i="24" s="1"/>
  <c r="R11" i="24"/>
  <c r="S11" i="24" s="1"/>
  <c r="R21" i="24"/>
  <c r="S21" i="24" s="1"/>
  <c r="P6" i="24"/>
  <c r="O37" i="24"/>
  <c r="C5" i="32"/>
  <c r="S8" i="24" l="1"/>
  <c r="B5" i="32"/>
  <c r="S35" i="24"/>
  <c r="P37" i="24"/>
  <c r="R6" i="24"/>
  <c r="Q6" i="24" l="1"/>
  <c r="R37" i="24"/>
  <c r="S37" i="24" s="1"/>
  <c r="S6" i="24"/>
  <c r="Q35" i="24"/>
  <c r="Q18" i="24"/>
  <c r="Q11" i="24"/>
  <c r="Q14" i="24"/>
  <c r="Q29" i="24"/>
  <c r="Q33" i="24"/>
  <c r="Q22" i="24"/>
  <c r="Q16" i="24"/>
  <c r="Q23" i="24"/>
  <c r="Q27" i="24"/>
  <c r="Q15" i="24"/>
  <c r="Q28" i="24"/>
  <c r="Q31" i="24"/>
  <c r="Q10" i="24"/>
  <c r="Q12" i="24"/>
  <c r="Q13" i="24"/>
  <c r="Q20" i="24"/>
  <c r="Q21" i="24"/>
  <c r="Q25" i="24"/>
  <c r="Q30" i="24"/>
  <c r="Q19" i="24"/>
  <c r="Q7" i="24"/>
  <c r="Q9" i="24"/>
  <c r="Q34" i="24"/>
  <c r="Q24" i="24"/>
  <c r="Q32" i="24"/>
  <c r="Q26" i="24"/>
  <c r="Q17" i="24"/>
  <c r="Q8" i="24"/>
  <c r="Q37" i="24" l="1"/>
</calcChain>
</file>

<file path=xl/sharedStrings.xml><?xml version="1.0" encoding="utf-8"?>
<sst xmlns="http://schemas.openxmlformats.org/spreadsheetml/2006/main" count="1025" uniqueCount="330">
  <si>
    <t>Inst ID</t>
  </si>
  <si>
    <t>Institution Name</t>
  </si>
  <si>
    <t>0203</t>
  </si>
  <si>
    <t>Alexandria TC</t>
  </si>
  <si>
    <t>0152</t>
  </si>
  <si>
    <t>0070</t>
  </si>
  <si>
    <t>0301</t>
  </si>
  <si>
    <t>Central Lakes College</t>
  </si>
  <si>
    <t>0304</t>
  </si>
  <si>
    <t>Century College</t>
  </si>
  <si>
    <t>0211</t>
  </si>
  <si>
    <t>Dakota County TC</t>
  </si>
  <si>
    <t>0163</t>
  </si>
  <si>
    <t>Fond du Lac Tribal &amp; CC</t>
  </si>
  <si>
    <t>0204</t>
  </si>
  <si>
    <t>Hennepin TC</t>
  </si>
  <si>
    <t>0302</t>
  </si>
  <si>
    <t>Lake Superior College</t>
  </si>
  <si>
    <t>0076</t>
  </si>
  <si>
    <t>0305</t>
  </si>
  <si>
    <t>Minneapolis College</t>
  </si>
  <si>
    <t>0213</t>
  </si>
  <si>
    <t>0071</t>
  </si>
  <si>
    <t>Minnesota SU, Mankato</t>
  </si>
  <si>
    <t>0209</t>
  </si>
  <si>
    <t>Minnesota West College</t>
  </si>
  <si>
    <t>0072</t>
  </si>
  <si>
    <t>0156</t>
  </si>
  <si>
    <t>Normandale CC</t>
  </si>
  <si>
    <t>0153</t>
  </si>
  <si>
    <t>North Hennepin CC</t>
  </si>
  <si>
    <t>0303</t>
  </si>
  <si>
    <t>Northland College</t>
  </si>
  <si>
    <t>0205</t>
  </si>
  <si>
    <t>Pine TC</t>
  </si>
  <si>
    <t>0308</t>
  </si>
  <si>
    <t>Ridgewater College</t>
  </si>
  <si>
    <t>0307</t>
  </si>
  <si>
    <t>Riverland College</t>
  </si>
  <si>
    <t>0306</t>
  </si>
  <si>
    <t>Rochester College</t>
  </si>
  <si>
    <t>0309</t>
  </si>
  <si>
    <t>0075</t>
  </si>
  <si>
    <t>0073</t>
  </si>
  <si>
    <t>St. Cloud SU</t>
  </si>
  <si>
    <t>0208</t>
  </si>
  <si>
    <t>0206</t>
  </si>
  <si>
    <t>0074</t>
  </si>
  <si>
    <t>Winona SU</t>
  </si>
  <si>
    <t>TOTAL</t>
  </si>
  <si>
    <t>MnSCU Finance Division</t>
  </si>
  <si>
    <t>I</t>
  </si>
  <si>
    <t>A</t>
  </si>
  <si>
    <t>B</t>
  </si>
  <si>
    <t>D</t>
  </si>
  <si>
    <t>C</t>
  </si>
  <si>
    <t>E</t>
  </si>
  <si>
    <t>F</t>
  </si>
  <si>
    <t>G</t>
  </si>
  <si>
    <t>H</t>
  </si>
  <si>
    <t>K</t>
  </si>
  <si>
    <t>M</t>
  </si>
  <si>
    <t>Minnesota SU Moorhead</t>
  </si>
  <si>
    <t>Northeast Higher Education District</t>
  </si>
  <si>
    <t>N</t>
  </si>
  <si>
    <t>O</t>
  </si>
  <si>
    <t>Allocation for Facilities</t>
  </si>
  <si>
    <t>Metropolitan SU</t>
  </si>
  <si>
    <t>Southwest Minnesota SU</t>
  </si>
  <si>
    <t>Saint Paul College</t>
  </si>
  <si>
    <t>Minnesota SC-Southeast Technical</t>
  </si>
  <si>
    <t>Minnesota State Colleges and Universities</t>
  </si>
  <si>
    <t>INSTRUCTION AND ACADEMIC SUPPORT</t>
  </si>
  <si>
    <t>b</t>
  </si>
  <si>
    <t>c</t>
  </si>
  <si>
    <t>d</t>
  </si>
  <si>
    <t>e</t>
  </si>
  <si>
    <t>f</t>
  </si>
  <si>
    <t>a</t>
  </si>
  <si>
    <t>10% of LD expended</t>
  </si>
  <si>
    <t>g</t>
  </si>
  <si>
    <t>h</t>
  </si>
  <si>
    <t>Institution</t>
  </si>
  <si>
    <t>Regional Dean of Mgmt Education</t>
  </si>
  <si>
    <t>Departmental Research</t>
  </si>
  <si>
    <t>Instruction &amp; Academic Support Change</t>
  </si>
  <si>
    <t>ACADEMIC SUPPORT PER FYE ADDED TO EACH INSTRUCTIONAL PROGRAM</t>
  </si>
  <si>
    <t>c/d</t>
  </si>
  <si>
    <t>Academic Support Per FYE Added to Each Instructional Program</t>
  </si>
  <si>
    <t>SEPARATELY BUDGETED RESEARCH AND PUBLIC SERVICE</t>
  </si>
  <si>
    <t>Allocation for Separately Budgeted Research and Public Service</t>
  </si>
  <si>
    <t>Total</t>
  </si>
  <si>
    <t>REVENUE OFFSET</t>
  </si>
  <si>
    <t>a-b</t>
  </si>
  <si>
    <t>Less Specific Revenue</t>
  </si>
  <si>
    <t>Net GEN Revenue</t>
  </si>
  <si>
    <t>a * c</t>
  </si>
  <si>
    <t>$500/fye</t>
  </si>
  <si>
    <t>k</t>
  </si>
  <si>
    <t>Dollars per FYE</t>
  </si>
  <si>
    <t xml:space="preserve">Dollars Generated Per FYE   </t>
  </si>
  <si>
    <t>Allocation    Sub-Total</t>
  </si>
  <si>
    <t>Multi Campus Adjustment</t>
  </si>
  <si>
    <t>FACILITIES -- OPERATIONS AND REPAIR/REPLACEMENT</t>
  </si>
  <si>
    <t>Operations and Maintenance</t>
  </si>
  <si>
    <t>Multiple Campus Factor</t>
  </si>
  <si>
    <t>Gross Operations</t>
  </si>
  <si>
    <t>SQ FT</t>
  </si>
  <si>
    <t>0442</t>
  </si>
  <si>
    <t>0403</t>
  </si>
  <si>
    <t>i</t>
  </si>
  <si>
    <t>Minnesota State College</t>
  </si>
  <si>
    <t>Bemidji SU &amp; Northwest TC-Bemidji</t>
  </si>
  <si>
    <t>P</t>
  </si>
  <si>
    <t>a*(1-b)</t>
  </si>
  <si>
    <t>South Central College</t>
  </si>
  <si>
    <t>0411</t>
  </si>
  <si>
    <t>Revenue Buydown</t>
  </si>
  <si>
    <t>J</t>
  </si>
  <si>
    <t>90/110</t>
  </si>
  <si>
    <t>St. Cloud College</t>
  </si>
  <si>
    <t>j</t>
  </si>
  <si>
    <t>Anoka Ramsey CC - Anoka TC</t>
  </si>
  <si>
    <t>*MnSCU funds 110 and 830; excludes auxiliary/agency activities and transfers</t>
  </si>
  <si>
    <t>STUDENT SUPPORT SERVICES AND INSTITUTIONAL SUPPORT</t>
  </si>
  <si>
    <t>Enter Base #</t>
  </si>
  <si>
    <t>Alexandria TCC</t>
  </si>
  <si>
    <t>Minneapolis CTC</t>
  </si>
  <si>
    <t>Pine TCC</t>
  </si>
  <si>
    <t>Riverland Community College</t>
  </si>
  <si>
    <t>Normandale Community College</t>
  </si>
  <si>
    <t>North Hennepin Community College</t>
  </si>
  <si>
    <t>Northland CTC</t>
  </si>
  <si>
    <t>Rochester CTC</t>
  </si>
  <si>
    <t>St. Cloud TCC</t>
  </si>
  <si>
    <t>Minnesota West CTC</t>
  </si>
  <si>
    <t>Q</t>
  </si>
  <si>
    <t>Hennepin Technical College</t>
  </si>
  <si>
    <t>Metropolitan State University</t>
  </si>
  <si>
    <t>Minnesota State CTC</t>
  </si>
  <si>
    <t>2 Year Average Allocation Instruction</t>
  </si>
  <si>
    <t>e=c*(1-d)</t>
  </si>
  <si>
    <t>Research</t>
  </si>
  <si>
    <t>Public Service</t>
  </si>
  <si>
    <t>Dakota County TC - Inver Hills CC</t>
  </si>
  <si>
    <t>Sum A thru E</t>
  </si>
  <si>
    <t>F/tot F</t>
  </si>
  <si>
    <t>H/tot H</t>
  </si>
  <si>
    <t>i*$X</t>
  </si>
  <si>
    <t>L</t>
  </si>
  <si>
    <t>j+k</t>
  </si>
  <si>
    <t>g*$X</t>
  </si>
  <si>
    <t>L/tot L</t>
  </si>
  <si>
    <t>L-H</t>
  </si>
  <si>
    <t>N/H</t>
  </si>
  <si>
    <t>The lower the %, the more expenses are recognized</t>
  </si>
  <si>
    <t>(c-d)/c</t>
  </si>
  <si>
    <t xml:space="preserve"> c</t>
  </si>
  <si>
    <t>Student Support and Institutional Support Regression Split and Headcount Recognition</t>
  </si>
  <si>
    <t>Student Support and Institutional Support Regression Splt and Headcount Recognition</t>
  </si>
  <si>
    <t>e*g</t>
  </si>
  <si>
    <t>b + d + f +h</t>
  </si>
  <si>
    <t>i*(1-f)</t>
  </si>
  <si>
    <t>k + l</t>
  </si>
  <si>
    <t>l</t>
  </si>
  <si>
    <t>m</t>
  </si>
  <si>
    <t>n</t>
  </si>
  <si>
    <t>Institutional Support Core</t>
  </si>
  <si>
    <t>Student Services Core</t>
  </si>
  <si>
    <t>Dollars per Headcount</t>
  </si>
  <si>
    <t>Dollars Generated Per Headcount</t>
  </si>
  <si>
    <t>Core plus Dollars per Headcount/FYE</t>
  </si>
  <si>
    <t>2 Year Average Allocation Student Services &amp; Institutional Support</t>
  </si>
  <si>
    <t>Includes Library Spending</t>
  </si>
  <si>
    <t xml:space="preserve">Minnesota SC-Southeast </t>
  </si>
  <si>
    <t>Student Success Measures</t>
  </si>
  <si>
    <t>Exceeding Expected Rates</t>
  </si>
  <si>
    <t>Improved Rates for SOC</t>
  </si>
  <si>
    <t>Colleges / Universities</t>
  </si>
  <si>
    <t>Cohort</t>
  </si>
  <si>
    <t>Success-ful</t>
  </si>
  <si>
    <t>Actual Rate</t>
  </si>
  <si>
    <t>Expected Rate</t>
  </si>
  <si>
    <t>Upper Limit One SD</t>
  </si>
  <si>
    <t>Expected Successful One SD</t>
  </si>
  <si>
    <t>Alexandria Technical and Community College</t>
  </si>
  <si>
    <t>Anoka-Ramsey Community College</t>
  </si>
  <si>
    <t>Anoka Technical College</t>
  </si>
  <si>
    <t>Dakota County Technical College</t>
  </si>
  <si>
    <t>Inver Hills Community College</t>
  </si>
  <si>
    <t>Minneapolis Community and Technical College</t>
  </si>
  <si>
    <t>Minnesota State College - Southeast Technical</t>
  </si>
  <si>
    <t>Minnesota State Community and Technical College</t>
  </si>
  <si>
    <t>Northland Community &amp; Technical College</t>
  </si>
  <si>
    <t>Northwest Technical College - Bemidji</t>
  </si>
  <si>
    <t>Pine Technical and Community College</t>
  </si>
  <si>
    <t>Rochester Community and Technical College</t>
  </si>
  <si>
    <t>St. Cloud Technical and Community College</t>
  </si>
  <si>
    <t>Colleges</t>
  </si>
  <si>
    <t>Bemidji State University</t>
  </si>
  <si>
    <t>Minnesota State University, Mankato</t>
  </si>
  <si>
    <t>Minnesota State University Moorhead</t>
  </si>
  <si>
    <t>St. Cloud State University</t>
  </si>
  <si>
    <t>Southwest Minnesota State University</t>
  </si>
  <si>
    <t>Winona State University</t>
  </si>
  <si>
    <t>Universities</t>
  </si>
  <si>
    <t>System</t>
  </si>
  <si>
    <t>Change</t>
  </si>
  <si>
    <t>Addnl Success-</t>
  </si>
  <si>
    <t>College / University</t>
  </si>
  <si>
    <t>Denominator</t>
  </si>
  <si>
    <t>ful Students</t>
  </si>
  <si>
    <t>Fond du Lac Tribal and Community College</t>
  </si>
  <si>
    <t>Minnesota State College Southeast</t>
  </si>
  <si>
    <t>Minnesota West Community and Technical College</t>
  </si>
  <si>
    <t>Hibbing Community College</t>
  </si>
  <si>
    <t>Itasca Community College</t>
  </si>
  <si>
    <t>Mesabi Range College</t>
  </si>
  <si>
    <t>Rainy River Community College</t>
  </si>
  <si>
    <t>Vermilion Community College</t>
  </si>
  <si>
    <t>Northland Community and Technical College</t>
  </si>
  <si>
    <t>Additional Weight Modeling based on total headcount and underrepresented headcount</t>
  </si>
  <si>
    <t xml:space="preserve">Additional Weight </t>
  </si>
  <si>
    <t>Concurrrent Weight</t>
  </si>
  <si>
    <t>g=c+d+e-f</t>
  </si>
  <si>
    <t>h=g x weight</t>
  </si>
  <si>
    <t>j=(a-b)+h+i</t>
  </si>
  <si>
    <t>k=j-a/a</t>
  </si>
  <si>
    <t>Total Students</t>
  </si>
  <si>
    <t>Concurrent Headcount</t>
  </si>
  <si>
    <t xml:space="preserve">First Generation </t>
  </si>
  <si>
    <t xml:space="preserve">Pell Eligible </t>
  </si>
  <si>
    <t>Students of Color</t>
  </si>
  <si>
    <t>Concurrent Under represented</t>
  </si>
  <si>
    <t>First Generation + Pell Eligible + Students of Color</t>
  </si>
  <si>
    <t>Percent of Total</t>
  </si>
  <si>
    <t>Additional Weight for First Generation and Pell Eligible</t>
  </si>
  <si>
    <t>Concurrent Weigh</t>
  </si>
  <si>
    <t>Total Adjusted Headcount</t>
  </si>
  <si>
    <t>Percent Change in Adjusted Student Headcount</t>
  </si>
  <si>
    <t>Subtotal:  Colleges</t>
  </si>
  <si>
    <t>Subtotal:  Universities</t>
  </si>
  <si>
    <t>Total: System</t>
  </si>
  <si>
    <t>Total To Be Allocated</t>
  </si>
  <si>
    <t>Minnesota State</t>
  </si>
  <si>
    <t xml:space="preserve">Minnesota State </t>
  </si>
  <si>
    <t>Metro Colleges</t>
  </si>
  <si>
    <t>Non-Metro Colleges</t>
  </si>
  <si>
    <t>Allocation Framework Sector Differences</t>
  </si>
  <si>
    <t>Metro all</t>
  </si>
  <si>
    <t>Non-Metro all</t>
  </si>
  <si>
    <t>Overall shift</t>
  </si>
  <si>
    <t>$ change</t>
  </si>
  <si>
    <t>% of $508 million</t>
  </si>
  <si>
    <t>Instruction &amp; Academic Support</t>
  </si>
  <si>
    <t>Facilities</t>
  </si>
  <si>
    <t>Student Success</t>
  </si>
  <si>
    <t>Student Services &amp; Institutional Support</t>
  </si>
  <si>
    <t>Research &amp; Public Service</t>
  </si>
  <si>
    <t>R</t>
  </si>
  <si>
    <t>Expected Success-ful</t>
  </si>
  <si>
    <t>Addnl Success-ful Students One SD</t>
  </si>
  <si>
    <t>Funds per Successful Student</t>
  </si>
  <si>
    <t>Rural College Campus Aid</t>
  </si>
  <si>
    <t>Table 2</t>
  </si>
  <si>
    <t>Table 3</t>
  </si>
  <si>
    <t>Table 4</t>
  </si>
  <si>
    <t>Table 5</t>
  </si>
  <si>
    <t>Table 6</t>
  </si>
  <si>
    <t>Table 7</t>
  </si>
  <si>
    <t>Table 8</t>
  </si>
  <si>
    <t>Table 9</t>
  </si>
  <si>
    <t>Table 10</t>
  </si>
  <si>
    <t>Table 11</t>
  </si>
  <si>
    <t>FY2018 FYE</t>
  </si>
  <si>
    <t>Instruction &amp; Academic Support State Appro Expended</t>
  </si>
  <si>
    <t>Concurrent Enrollment Change</t>
  </si>
  <si>
    <t>Lower Division Change</t>
  </si>
  <si>
    <t>Upper Division Change</t>
  </si>
  <si>
    <t>Graduate Change</t>
  </si>
  <si>
    <t>b+c+d+e+f+g</t>
  </si>
  <si>
    <t>a=h</t>
  </si>
  <si>
    <t>Avg (i+j)</t>
  </si>
  <si>
    <t>Actual and Expected Third Term Persistence and Completion Rates and Additional Successful Students</t>
  </si>
  <si>
    <t>Persistence and Completion at Third Term - Students of Color</t>
  </si>
  <si>
    <t>Minnesota North College (NHED)</t>
  </si>
  <si>
    <t>Recognition for Student Success</t>
  </si>
  <si>
    <t>Recognition</t>
  </si>
  <si>
    <t>FP&amp;A - February 2024</t>
  </si>
  <si>
    <t xml:space="preserve">FY2025 Base Allocation </t>
  </si>
  <si>
    <t>% Share of FY2025 Allocation</t>
  </si>
  <si>
    <t>FY2025 Allocation for Student Services &amp; Institutional Support</t>
  </si>
  <si>
    <t>FY2025 Allocation for Instruction &amp; Academic Support</t>
  </si>
  <si>
    <t>Minnesota North College</t>
  </si>
  <si>
    <t>0320</t>
  </si>
  <si>
    <t>s:\finance\bargain\FY25 allocation\Summary of FY2025 Institutional Allocation Draft</t>
  </si>
  <si>
    <t>Adjusted FY2023 Headcount</t>
  </si>
  <si>
    <t>BASED ON FY2023 System DATA and FY2022 NATIONAL DATA -- February 2024</t>
  </si>
  <si>
    <t xml:space="preserve">BASED ON FY2024 System DATA </t>
  </si>
  <si>
    <t>FY2024 Total GEN Revenue</t>
  </si>
  <si>
    <t>FY2024 Total State Appropriation</t>
  </si>
  <si>
    <t>FP&amp;A - February 2025</t>
  </si>
  <si>
    <t>FY2024 FYE</t>
  </si>
  <si>
    <t>BASED ON FY2024 System DATA -- February 2025</t>
  </si>
  <si>
    <t>FY2024 Academic Support Net Expenditures</t>
  </si>
  <si>
    <t>FY2024 Academic Support State Appro Expended</t>
  </si>
  <si>
    <t>s:\finance\bargain\FY26 allocation\Summary of FY2026 Institutional Allocation Draft</t>
  </si>
  <si>
    <t>FY2026 Allocation for Instruction &amp; Academic Support</t>
  </si>
  <si>
    <t>% Share of Allocation Model</t>
  </si>
  <si>
    <t>TOTAL ALLOCATION MODEL</t>
  </si>
  <si>
    <t>50% FY2025 Base % Share</t>
  </si>
  <si>
    <t>50% Allocation Model % Share</t>
  </si>
  <si>
    <t xml:space="preserve">FY2026 Base Allocation </t>
  </si>
  <si>
    <t>% Share of FY2026 Allocation</t>
  </si>
  <si>
    <t>$ Change Over FY2025</t>
  </si>
  <si>
    <t>% Change Over FY2025</t>
  </si>
  <si>
    <t>BASED ON FY2024 System DATA  --February 2025</t>
  </si>
  <si>
    <t>Fiscal Year 2024</t>
  </si>
  <si>
    <t>FY2026 Allocation for Student Services &amp; Institutional Support</t>
  </si>
  <si>
    <t>2021-2023</t>
  </si>
  <si>
    <t xml:space="preserve">Fiscal Years 2021 to 2023 Entering Students </t>
  </si>
  <si>
    <t>Based on FY2021-2023 Enrollment Data</t>
  </si>
  <si>
    <t xml:space="preserve">FY2026 Access &amp; Opportunity </t>
  </si>
  <si>
    <t>FY14-18 and FY24/25 Tuition Relief Allocation</t>
  </si>
  <si>
    <t>BASED ON FY2024 System DATA  -- February 2025</t>
  </si>
  <si>
    <t>FY2024</t>
  </si>
  <si>
    <t>Based on FY2024 System Data</t>
  </si>
  <si>
    <t>Fiscal Year 2023 Entering Students</t>
  </si>
  <si>
    <t>FY2025 Base</t>
  </si>
  <si>
    <t>FY2026 Base - Governor's req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</si>
</sst>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  <numFmt numFmtId="165" formatCode="#,##0.0000_);[Red]\(#,##0.0000\)"/>
    <numFmt numFmtId="166" formatCode="#,##0.00000_);[Red]\(#,##0.00000\)"/>
    <numFmt numFmtId="167" formatCode="0.0%"/>
    <numFmt numFmtId="168" formatCode="_(* #,##0_);_(* \(#,##0\);_(* &quot;-&quot;??_);_(@_)"/>
    <numFmt numFmtId="169" formatCode="&quot;$&quot;#,##0"/>
    <numFmt numFmtId="170" formatCode="#,##0.0000000000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name val="Courier"/>
      <family val="3"/>
    </font>
    <font>
      <b/>
      <sz val="10"/>
      <name val="Arial"/>
      <family val="2"/>
    </font>
    <font>
      <sz val="8"/>
      <name val="Arial"/>
      <family val="2"/>
    </font>
    <font>
      <b/>
      <sz val="8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 New"/>
      <family val="3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MS Sans Serif"/>
    </font>
    <font>
      <b/>
      <sz val="10"/>
      <name val="MS Sans Serif"/>
      <family val="2"/>
    </font>
    <font>
      <b/>
      <sz val="10"/>
      <name val="MS Sans Serif"/>
    </font>
    <font>
      <b/>
      <sz val="10"/>
      <name val="Calibri"/>
      <family val="2"/>
      <scheme val="minor"/>
    </font>
    <font>
      <sz val="8"/>
      <name val="Microsoft Sans Serif"/>
      <family val="2"/>
    </font>
    <font>
      <sz val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44" fontId="2" fillId="0" borderId="0" applyFont="0" applyFill="0" applyBorder="0" applyAlignment="0" applyProtection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0" fontId="24" fillId="0" borderId="0"/>
    <xf numFmtId="0" fontId="6" fillId="0" borderId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0"/>
  </cellStyleXfs>
  <cellXfs count="443">
    <xf numFmtId="0" fontId="0" fillId="0" borderId="0" xfId="0"/>
    <xf numFmtId="0" fontId="4" fillId="2" borderId="1" xfId="7" applyFont="1" applyFill="1" applyBorder="1" applyAlignment="1">
      <alignment horizontal="center" wrapText="1"/>
    </xf>
    <xf numFmtId="0" fontId="6" fillId="2" borderId="0" xfId="7" applyFont="1" applyFill="1" applyAlignment="1">
      <alignment horizontal="center" wrapText="1"/>
    </xf>
    <xf numFmtId="0" fontId="6" fillId="0" borderId="1" xfId="7" applyFont="1" applyBorder="1" applyAlignment="1">
      <alignment horizontal="left" wrapText="1"/>
    </xf>
    <xf numFmtId="0" fontId="7" fillId="0" borderId="0" xfId="0" applyFont="1"/>
    <xf numFmtId="38" fontId="7" fillId="0" borderId="0" xfId="0" applyNumberFormat="1" applyFont="1"/>
    <xf numFmtId="10" fontId="0" fillId="0" borderId="0" xfId="0" applyNumberFormat="1"/>
    <xf numFmtId="10" fontId="7" fillId="0" borderId="0" xfId="0" applyNumberFormat="1" applyFont="1"/>
    <xf numFmtId="38" fontId="0" fillId="0" borderId="1" xfId="0" applyNumberFormat="1" applyBorder="1"/>
    <xf numFmtId="10" fontId="0" fillId="0" borderId="1" xfId="0" applyNumberFormat="1" applyBorder="1"/>
    <xf numFmtId="0" fontId="6" fillId="0" borderId="1" xfId="7" applyFont="1" applyBorder="1" applyAlignment="1">
      <alignment horizontal="center" wrapText="1"/>
    </xf>
    <xf numFmtId="38" fontId="0" fillId="0" borderId="0" xfId="0" applyNumberFormat="1"/>
    <xf numFmtId="3" fontId="7" fillId="0" borderId="0" xfId="0" applyNumberFormat="1" applyFont="1"/>
    <xf numFmtId="0" fontId="7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49" fontId="8" fillId="0" borderId="0" xfId="0" applyNumberFormat="1" applyFont="1" applyAlignment="1">
      <alignment horizontal="left"/>
    </xf>
    <xf numFmtId="3" fontId="0" fillId="0" borderId="0" xfId="0" applyNumberFormat="1"/>
    <xf numFmtId="3" fontId="0" fillId="0" borderId="4" xfId="0" applyNumberFormat="1" applyBorder="1"/>
    <xf numFmtId="10" fontId="7" fillId="0" borderId="2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10" fontId="9" fillId="0" borderId="0" xfId="0" applyNumberFormat="1" applyFont="1" applyAlignment="1">
      <alignment horizontal="center"/>
    </xf>
    <xf numFmtId="10" fontId="9" fillId="0" borderId="3" xfId="0" applyNumberFormat="1" applyFont="1" applyBorder="1" applyAlignment="1">
      <alignment horizontal="center"/>
    </xf>
    <xf numFmtId="168" fontId="0" fillId="0" borderId="0" xfId="1" applyNumberFormat="1" applyFont="1"/>
    <xf numFmtId="10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38" fontId="0" fillId="2" borderId="0" xfId="0" applyNumberFormat="1" applyFill="1"/>
    <xf numFmtId="0" fontId="10" fillId="0" borderId="0" xfId="0" applyFont="1"/>
    <xf numFmtId="0" fontId="7" fillId="0" borderId="4" xfId="0" applyFont="1" applyBorder="1" applyAlignment="1">
      <alignment horizontal="center" wrapText="1"/>
    </xf>
    <xf numFmtId="38" fontId="7" fillId="2" borderId="4" xfId="0" applyNumberFormat="1" applyFont="1" applyFill="1" applyBorder="1" applyAlignment="1">
      <alignment horizontal="center" wrapText="1"/>
    </xf>
    <xf numFmtId="38" fontId="7" fillId="0" borderId="0" xfId="0" applyNumberFormat="1" applyFont="1" applyAlignment="1">
      <alignment horizontal="center"/>
    </xf>
    <xf numFmtId="0" fontId="7" fillId="2" borderId="4" xfId="0" applyFont="1" applyFill="1" applyBorder="1" applyAlignment="1">
      <alignment horizontal="center" wrapText="1"/>
    </xf>
    <xf numFmtId="0" fontId="6" fillId="2" borderId="0" xfId="8" applyFont="1" applyFill="1" applyAlignment="1">
      <alignment horizontal="center"/>
    </xf>
    <xf numFmtId="38" fontId="0" fillId="0" borderId="4" xfId="0" applyNumberFormat="1" applyBorder="1"/>
    <xf numFmtId="0" fontId="13" fillId="0" borderId="0" xfId="0" applyFont="1"/>
    <xf numFmtId="49" fontId="6" fillId="0" borderId="1" xfId="7" applyNumberFormat="1" applyFont="1" applyBorder="1" applyAlignment="1">
      <alignment horizontal="center" wrapText="1"/>
    </xf>
    <xf numFmtId="38" fontId="0" fillId="2" borderId="4" xfId="0" applyNumberFormat="1" applyFill="1" applyBorder="1"/>
    <xf numFmtId="0" fontId="7" fillId="0" borderId="0" xfId="0" applyFont="1" applyAlignment="1">
      <alignment horizontal="left"/>
    </xf>
    <xf numFmtId="10" fontId="7" fillId="2" borderId="12" xfId="0" applyNumberFormat="1" applyFont="1" applyFill="1" applyBorder="1" applyAlignment="1">
      <alignment horizontal="center" wrapText="1"/>
    </xf>
    <xf numFmtId="10" fontId="0" fillId="2" borderId="0" xfId="0" applyNumberFormat="1" applyFill="1"/>
    <xf numFmtId="10" fontId="0" fillId="2" borderId="4" xfId="0" applyNumberFormat="1" applyFill="1" applyBorder="1"/>
    <xf numFmtId="0" fontId="0" fillId="2" borderId="0" xfId="0" applyFill="1"/>
    <xf numFmtId="0" fontId="12" fillId="2" borderId="0" xfId="0" applyFont="1" applyFill="1" applyAlignment="1">
      <alignment horizontal="center"/>
    </xf>
    <xf numFmtId="0" fontId="9" fillId="2" borderId="3" xfId="0" applyFont="1" applyFill="1" applyBorder="1" applyAlignment="1">
      <alignment horizontal="center"/>
    </xf>
    <xf numFmtId="167" fontId="0" fillId="0" borderId="4" xfId="9" applyNumberFormat="1" applyFont="1" applyBorder="1"/>
    <xf numFmtId="0" fontId="9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10" fontId="0" fillId="2" borderId="1" xfId="9" applyNumberFormat="1" applyFont="1" applyFill="1" applyBorder="1"/>
    <xf numFmtId="10" fontId="7" fillId="2" borderId="0" xfId="0" applyNumberFormat="1" applyFont="1" applyFill="1"/>
    <xf numFmtId="168" fontId="0" fillId="0" borderId="0" xfId="1" applyNumberFormat="1" applyFont="1" applyFill="1"/>
    <xf numFmtId="38" fontId="7" fillId="3" borderId="4" xfId="0" applyNumberFormat="1" applyFont="1" applyFill="1" applyBorder="1" applyAlignment="1">
      <alignment horizontal="center" wrapText="1"/>
    </xf>
    <xf numFmtId="38" fontId="0" fillId="3" borderId="0" xfId="0" applyNumberFormat="1" applyFill="1"/>
    <xf numFmtId="38" fontId="0" fillId="3" borderId="4" xfId="0" applyNumberFormat="1" applyFill="1" applyBorder="1"/>
    <xf numFmtId="0" fontId="0" fillId="4" borderId="0" xfId="0" applyFill="1"/>
    <xf numFmtId="10" fontId="9" fillId="4" borderId="0" xfId="0" applyNumberFormat="1" applyFont="1" applyFill="1" applyAlignment="1">
      <alignment horizontal="center"/>
    </xf>
    <xf numFmtId="10" fontId="9" fillId="4" borderId="3" xfId="0" applyNumberFormat="1" applyFont="1" applyFill="1" applyBorder="1" applyAlignment="1">
      <alignment horizontal="center"/>
    </xf>
    <xf numFmtId="10" fontId="0" fillId="4" borderId="0" xfId="0" applyNumberFormat="1" applyFill="1"/>
    <xf numFmtId="38" fontId="0" fillId="4" borderId="1" xfId="0" applyNumberFormat="1" applyFill="1" applyBorder="1"/>
    <xf numFmtId="0" fontId="13" fillId="4" borderId="0" xfId="0" applyFont="1" applyFill="1" applyAlignment="1">
      <alignment horizontal="left"/>
    </xf>
    <xf numFmtId="38" fontId="0" fillId="4" borderId="0" xfId="0" applyNumberFormat="1" applyFill="1"/>
    <xf numFmtId="0" fontId="7" fillId="4" borderId="0" xfId="0" applyFont="1" applyFill="1" applyAlignment="1">
      <alignment horizontal="left"/>
    </xf>
    <xf numFmtId="0" fontId="7" fillId="4" borderId="0" xfId="0" applyFont="1" applyFill="1"/>
    <xf numFmtId="0" fontId="7" fillId="4" borderId="0" xfId="0" applyFont="1" applyFill="1" applyAlignment="1">
      <alignment horizontal="center"/>
    </xf>
    <xf numFmtId="38" fontId="7" fillId="4" borderId="0" xfId="0" applyNumberFormat="1" applyFont="1" applyFill="1" applyAlignment="1">
      <alignment horizontal="center"/>
    </xf>
    <xf numFmtId="0" fontId="0" fillId="4" borderId="0" xfId="0" applyFill="1" applyAlignment="1">
      <alignment horizontal="left"/>
    </xf>
    <xf numFmtId="0" fontId="7" fillId="4" borderId="1" xfId="0" applyFont="1" applyFill="1" applyBorder="1" applyAlignment="1">
      <alignment horizontal="center" wrapText="1"/>
    </xf>
    <xf numFmtId="0" fontId="4" fillId="4" borderId="1" xfId="8" applyFont="1" applyFill="1" applyBorder="1" applyAlignment="1">
      <alignment horizontal="center" wrapText="1"/>
    </xf>
    <xf numFmtId="38" fontId="7" fillId="4" borderId="1" xfId="0" applyNumberFormat="1" applyFont="1" applyFill="1" applyBorder="1" applyAlignment="1">
      <alignment horizontal="center" wrapText="1"/>
    </xf>
    <xf numFmtId="0" fontId="7" fillId="4" borderId="0" xfId="0" applyFont="1" applyFill="1" applyAlignment="1">
      <alignment wrapText="1"/>
    </xf>
    <xf numFmtId="0" fontId="6" fillId="4" borderId="0" xfId="8" applyFont="1" applyFill="1" applyAlignment="1">
      <alignment horizontal="center"/>
    </xf>
    <xf numFmtId="0" fontId="6" fillId="4" borderId="1" xfId="7" applyFont="1" applyFill="1" applyBorder="1" applyAlignment="1">
      <alignment horizontal="center" wrapText="1"/>
    </xf>
    <xf numFmtId="49" fontId="6" fillId="4" borderId="1" xfId="7" applyNumberFormat="1" applyFont="1" applyFill="1" applyBorder="1" applyAlignment="1">
      <alignment horizontal="center" wrapText="1"/>
    </xf>
    <xf numFmtId="49" fontId="8" fillId="4" borderId="0" xfId="0" applyNumberFormat="1" applyFont="1" applyFill="1" applyAlignment="1">
      <alignment horizontal="left"/>
    </xf>
    <xf numFmtId="0" fontId="12" fillId="0" borderId="0" xfId="0" applyFont="1" applyAlignment="1">
      <alignment horizontal="center" wrapText="1"/>
    </xf>
    <xf numFmtId="38" fontId="6" fillId="0" borderId="1" xfId="7" applyNumberFormat="1" applyFont="1" applyBorder="1" applyAlignment="1">
      <alignment horizontal="right"/>
    </xf>
    <xf numFmtId="3" fontId="14" fillId="0" borderId="0" xfId="0" applyNumberFormat="1" applyFont="1" applyAlignment="1">
      <alignment horizontal="right"/>
    </xf>
    <xf numFmtId="5" fontId="0" fillId="0" borderId="0" xfId="0" applyNumberFormat="1" applyAlignment="1">
      <alignment horizontal="right"/>
    </xf>
    <xf numFmtId="38" fontId="0" fillId="0" borderId="1" xfId="0" applyNumberFormat="1" applyBorder="1" applyAlignment="1">
      <alignment horizontal="right"/>
    </xf>
    <xf numFmtId="7" fontId="7" fillId="0" borderId="4" xfId="0" applyNumberFormat="1" applyFont="1" applyBorder="1" applyAlignment="1">
      <alignment horizontal="center"/>
    </xf>
    <xf numFmtId="7" fontId="7" fillId="0" borderId="0" xfId="0" applyNumberFormat="1" applyFont="1" applyAlignment="1">
      <alignment horizontal="center"/>
    </xf>
    <xf numFmtId="169" fontId="0" fillId="0" borderId="0" xfId="0" applyNumberFormat="1" applyAlignment="1">
      <alignment horizontal="right"/>
    </xf>
    <xf numFmtId="169" fontId="7" fillId="0" borderId="4" xfId="2" applyNumberFormat="1" applyFont="1" applyFill="1" applyBorder="1" applyAlignment="1">
      <alignment horizontal="center"/>
    </xf>
    <xf numFmtId="169" fontId="7" fillId="0" borderId="0" xfId="2" applyNumberFormat="1" applyFont="1" applyFill="1" applyBorder="1" applyAlignment="1">
      <alignment horizontal="center"/>
    </xf>
    <xf numFmtId="10" fontId="0" fillId="0" borderId="0" xfId="0" applyNumberFormat="1" applyAlignment="1">
      <alignment horizontal="right"/>
    </xf>
    <xf numFmtId="1" fontId="0" fillId="0" borderId="0" xfId="0" applyNumberFormat="1"/>
    <xf numFmtId="38" fontId="7" fillId="0" borderId="4" xfId="0" applyNumberFormat="1" applyFont="1" applyBorder="1" applyAlignment="1">
      <alignment horizontal="center" wrapText="1"/>
    </xf>
    <xf numFmtId="6" fontId="0" fillId="0" borderId="0" xfId="0" applyNumberFormat="1"/>
    <xf numFmtId="0" fontId="7" fillId="0" borderId="0" xfId="0" applyFont="1" applyAlignment="1">
      <alignment horizontal="right" vertical="top"/>
    </xf>
    <xf numFmtId="0" fontId="4" fillId="0" borderId="3" xfId="7" applyFont="1" applyBorder="1" applyAlignment="1">
      <alignment horizontal="center"/>
    </xf>
    <xf numFmtId="6" fontId="7" fillId="0" borderId="3" xfId="0" applyNumberFormat="1" applyFont="1" applyBorder="1" applyAlignment="1">
      <alignment horizontal="center"/>
    </xf>
    <xf numFmtId="0" fontId="0" fillId="0" borderId="10" xfId="0" applyBorder="1"/>
    <xf numFmtId="169" fontId="0" fillId="0" borderId="10" xfId="0" applyNumberFormat="1" applyBorder="1"/>
    <xf numFmtId="0" fontId="0" fillId="0" borderId="11" xfId="0" applyBorder="1"/>
    <xf numFmtId="0" fontId="7" fillId="0" borderId="1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0" fontId="6" fillId="0" borderId="1" xfId="7" applyNumberFormat="1" applyFont="1" applyBorder="1" applyAlignment="1">
      <alignment horizontal="right" wrapText="1"/>
    </xf>
    <xf numFmtId="38" fontId="0" fillId="0" borderId="4" xfId="0" applyNumberFormat="1" applyBorder="1" applyAlignment="1">
      <alignment horizontal="right"/>
    </xf>
    <xf numFmtId="0" fontId="6" fillId="0" borderId="1" xfId="7" applyFont="1" applyBorder="1" applyAlignment="1">
      <alignment horizontal="left"/>
    </xf>
    <xf numFmtId="0" fontId="6" fillId="0" borderId="0" xfId="7" applyFont="1" applyAlignment="1">
      <alignment horizontal="center" wrapText="1"/>
    </xf>
    <xf numFmtId="0" fontId="6" fillId="0" borderId="0" xfId="7" applyFont="1" applyAlignment="1">
      <alignment horizontal="left" wrapText="1"/>
    </xf>
    <xf numFmtId="6" fontId="0" fillId="0" borderId="0" xfId="0" applyNumberFormat="1" applyAlignment="1">
      <alignment horizontal="right"/>
    </xf>
    <xf numFmtId="0" fontId="14" fillId="0" borderId="0" xfId="0" applyFont="1"/>
    <xf numFmtId="10" fontId="6" fillId="0" borderId="0" xfId="7" applyNumberFormat="1" applyFont="1" applyAlignment="1">
      <alignment horizontal="right" wrapText="1"/>
    </xf>
    <xf numFmtId="49" fontId="8" fillId="0" borderId="0" xfId="0" applyNumberFormat="1" applyFont="1"/>
    <xf numFmtId="38" fontId="6" fillId="0" borderId="1" xfId="7" applyNumberFormat="1" applyFont="1" applyBorder="1" applyAlignment="1">
      <alignment horizontal="right" wrapText="1"/>
    </xf>
    <xf numFmtId="0" fontId="6" fillId="0" borderId="14" xfId="5" applyBorder="1" applyAlignment="1">
      <alignment horizontal="center"/>
    </xf>
    <xf numFmtId="3" fontId="6" fillId="0" borderId="1" xfId="1" applyNumberFormat="1" applyFont="1" applyFill="1" applyBorder="1" applyAlignment="1">
      <alignment horizontal="right" wrapText="1"/>
    </xf>
    <xf numFmtId="38" fontId="6" fillId="0" borderId="1" xfId="1" applyNumberFormat="1" applyFont="1" applyFill="1" applyBorder="1" applyAlignment="1">
      <alignment horizontal="right" wrapText="1"/>
    </xf>
    <xf numFmtId="10" fontId="0" fillId="0" borderId="4" xfId="0" applyNumberFormat="1" applyBorder="1"/>
    <xf numFmtId="167" fontId="0" fillId="0" borderId="4" xfId="9" applyNumberFormat="1" applyFont="1" applyFill="1" applyBorder="1"/>
    <xf numFmtId="1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4" fillId="0" borderId="1" xfId="7" applyFont="1" applyBorder="1" applyAlignment="1">
      <alignment horizontal="center" wrapText="1"/>
    </xf>
    <xf numFmtId="3" fontId="4" fillId="0" borderId="1" xfId="7" applyNumberFormat="1" applyFont="1" applyBorder="1" applyAlignment="1">
      <alignment horizontal="center" wrapText="1"/>
    </xf>
    <xf numFmtId="10" fontId="7" fillId="0" borderId="1" xfId="0" applyNumberFormat="1" applyFont="1" applyBorder="1" applyAlignment="1">
      <alignment horizontal="center" wrapText="1"/>
    </xf>
    <xf numFmtId="1" fontId="4" fillId="0" borderId="1" xfId="7" applyNumberFormat="1" applyFont="1" applyBorder="1" applyAlignment="1">
      <alignment horizontal="center" wrapText="1" shrinkToFit="1"/>
    </xf>
    <xf numFmtId="0" fontId="4" fillId="0" borderId="6" xfId="7" applyFont="1" applyBorder="1" applyAlignment="1">
      <alignment horizontal="center" wrapText="1"/>
    </xf>
    <xf numFmtId="38" fontId="6" fillId="0" borderId="6" xfId="3" applyNumberFormat="1" applyBorder="1" applyAlignment="1">
      <alignment horizontal="center"/>
    </xf>
    <xf numFmtId="3" fontId="4" fillId="0" borderId="0" xfId="7" applyNumberFormat="1" applyFont="1" applyAlignment="1">
      <alignment horizontal="center" wrapText="1"/>
    </xf>
    <xf numFmtId="3" fontId="4" fillId="0" borderId="0" xfId="7" applyNumberFormat="1" applyFont="1" applyAlignment="1">
      <alignment horizontal="center"/>
    </xf>
    <xf numFmtId="10" fontId="6" fillId="0" borderId="8" xfId="7" applyNumberFormat="1" applyFont="1" applyBorder="1" applyAlignment="1">
      <alignment horizontal="right" wrapText="1"/>
    </xf>
    <xf numFmtId="3" fontId="6" fillId="0" borderId="1" xfId="7" applyNumberFormat="1" applyFont="1" applyBorder="1" applyAlignment="1">
      <alignment horizontal="right" wrapText="1"/>
    </xf>
    <xf numFmtId="10" fontId="0" fillId="0" borderId="0" xfId="9" applyNumberFormat="1" applyFont="1" applyFill="1"/>
    <xf numFmtId="4" fontId="0" fillId="0" borderId="0" xfId="0" applyNumberFormat="1"/>
    <xf numFmtId="170" fontId="0" fillId="0" borderId="0" xfId="0" applyNumberFormat="1"/>
    <xf numFmtId="0" fontId="3" fillId="0" borderId="0" xfId="0" applyFont="1"/>
    <xf numFmtId="0" fontId="16" fillId="0" borderId="0" xfId="0" applyFont="1"/>
    <xf numFmtId="0" fontId="7" fillId="0" borderId="0" xfId="0" applyFont="1" applyAlignment="1">
      <alignment wrapText="1"/>
    </xf>
    <xf numFmtId="38" fontId="4" fillId="0" borderId="0" xfId="7" applyNumberFormat="1" applyFont="1" applyAlignment="1">
      <alignment horizontal="center" wrapText="1"/>
    </xf>
    <xf numFmtId="168" fontId="0" fillId="0" borderId="0" xfId="0" applyNumberFormat="1"/>
    <xf numFmtId="10" fontId="4" fillId="0" borderId="0" xfId="7" applyNumberFormat="1" applyFont="1" applyAlignment="1">
      <alignment horizontal="right" wrapText="1"/>
    </xf>
    <xf numFmtId="49" fontId="0" fillId="0" borderId="0" xfId="0" applyNumberFormat="1"/>
    <xf numFmtId="168" fontId="6" fillId="0" borderId="0" xfId="1" applyNumberFormat="1" applyFont="1" applyFill="1" applyBorder="1" applyAlignment="1">
      <alignment horizontal="right" wrapText="1"/>
    </xf>
    <xf numFmtId="0" fontId="7" fillId="5" borderId="0" xfId="0" applyFont="1" applyFill="1"/>
    <xf numFmtId="0" fontId="7" fillId="6" borderId="19" xfId="0" applyFont="1" applyFill="1" applyBorder="1" applyAlignment="1">
      <alignment horizontal="center" wrapText="1"/>
    </xf>
    <xf numFmtId="0" fontId="0" fillId="6" borderId="0" xfId="0" applyFill="1"/>
    <xf numFmtId="0" fontId="7" fillId="0" borderId="3" xfId="0" applyFont="1" applyBorder="1"/>
    <xf numFmtId="0" fontId="4" fillId="0" borderId="2" xfId="7" applyFont="1" applyBorder="1" applyAlignment="1">
      <alignment horizontal="center" wrapText="1"/>
    </xf>
    <xf numFmtId="0" fontId="6" fillId="0" borderId="1" xfId="4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49" fontId="7" fillId="0" borderId="7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/>
    </xf>
    <xf numFmtId="38" fontId="7" fillId="0" borderId="5" xfId="0" applyNumberFormat="1" applyFont="1" applyBorder="1" applyAlignment="1">
      <alignment horizontal="center" wrapText="1"/>
    </xf>
    <xf numFmtId="0" fontId="6" fillId="0" borderId="15" xfId="5" applyBorder="1" applyAlignment="1">
      <alignment horizontal="center"/>
    </xf>
    <xf numFmtId="0" fontId="6" fillId="0" borderId="0" xfId="7" applyFont="1" applyAlignment="1">
      <alignment horizontal="center"/>
    </xf>
    <xf numFmtId="38" fontId="6" fillId="0" borderId="1" xfId="5" applyNumberFormat="1" applyBorder="1" applyAlignment="1">
      <alignment horizontal="right" wrapText="1"/>
    </xf>
    <xf numFmtId="164" fontId="0" fillId="0" borderId="0" xfId="0" applyNumberFormat="1"/>
    <xf numFmtId="166" fontId="0" fillId="0" borderId="0" xfId="0" applyNumberFormat="1"/>
    <xf numFmtId="165" fontId="0" fillId="0" borderId="0" xfId="0" applyNumberFormat="1"/>
    <xf numFmtId="43" fontId="0" fillId="0" borderId="0" xfId="0" applyNumberFormat="1"/>
    <xf numFmtId="3" fontId="7" fillId="0" borderId="20" xfId="0" applyNumberFormat="1" applyFont="1" applyBorder="1" applyAlignment="1">
      <alignment horizontal="center" wrapText="1"/>
    </xf>
    <xf numFmtId="0" fontId="4" fillId="0" borderId="10" xfId="7" applyFont="1" applyBorder="1" applyAlignment="1">
      <alignment horizontal="center" vertical="top"/>
    </xf>
    <xf numFmtId="0" fontId="7" fillId="0" borderId="11" xfId="0" applyFont="1" applyBorder="1" applyAlignment="1">
      <alignment horizontal="center"/>
    </xf>
    <xf numFmtId="38" fontId="15" fillId="0" borderId="1" xfId="7" applyNumberFormat="1" applyFont="1" applyBorder="1" applyAlignment="1">
      <alignment horizontal="right"/>
    </xf>
    <xf numFmtId="38" fontId="6" fillId="0" borderId="4" xfId="7" applyNumberFormat="1" applyFont="1" applyBorder="1" applyAlignment="1">
      <alignment horizontal="right"/>
    </xf>
    <xf numFmtId="3" fontId="6" fillId="0" borderId="0" xfId="7" applyNumberFormat="1" applyFont="1" applyAlignment="1">
      <alignment horizontal="right"/>
    </xf>
    <xf numFmtId="9" fontId="0" fillId="0" borderId="0" xfId="9" applyFont="1" applyFill="1"/>
    <xf numFmtId="167" fontId="0" fillId="0" borderId="0" xfId="9" applyNumberFormat="1" applyFont="1" applyFill="1"/>
    <xf numFmtId="9" fontId="7" fillId="0" borderId="0" xfId="0" applyNumberFormat="1" applyFont="1"/>
    <xf numFmtId="3" fontId="6" fillId="0" borderId="0" xfId="7" applyNumberFormat="1" applyFont="1" applyAlignment="1">
      <alignment horizontal="center" wrapText="1"/>
    </xf>
    <xf numFmtId="168" fontId="7" fillId="0" borderId="0" xfId="0" applyNumberFormat="1" applyFont="1"/>
    <xf numFmtId="167" fontId="7" fillId="0" borderId="0" xfId="9" applyNumberFormat="1" applyFont="1" applyFill="1" applyBorder="1"/>
    <xf numFmtId="3" fontId="3" fillId="7" borderId="19" xfId="1" applyNumberFormat="1" applyFont="1" applyFill="1" applyBorder="1"/>
    <xf numFmtId="38" fontId="4" fillId="0" borderId="0" xfId="7" applyNumberFormat="1" applyFont="1" applyAlignment="1">
      <alignment horizontal="right" wrapText="1"/>
    </xf>
    <xf numFmtId="168" fontId="0" fillId="0" borderId="0" xfId="1" applyNumberFormat="1" applyFont="1" applyBorder="1"/>
    <xf numFmtId="0" fontId="7" fillId="2" borderId="21" xfId="0" applyFont="1" applyFill="1" applyBorder="1" applyAlignment="1">
      <alignment horizontal="center" wrapText="1"/>
    </xf>
    <xf numFmtId="0" fontId="4" fillId="2" borderId="21" xfId="8" applyFont="1" applyFill="1" applyBorder="1" applyAlignment="1">
      <alignment horizontal="center" wrapText="1"/>
    </xf>
    <xf numFmtId="38" fontId="7" fillId="2" borderId="20" xfId="0" applyNumberFormat="1" applyFont="1" applyFill="1" applyBorder="1" applyAlignment="1">
      <alignment horizontal="center" wrapText="1"/>
    </xf>
    <xf numFmtId="49" fontId="6" fillId="0" borderId="21" xfId="7" applyNumberFormat="1" applyFont="1" applyBorder="1" applyAlignment="1">
      <alignment horizontal="center" wrapText="1"/>
    </xf>
    <xf numFmtId="0" fontId="6" fillId="0" borderId="21" xfId="7" applyFont="1" applyBorder="1" applyAlignment="1">
      <alignment horizontal="left" wrapText="1"/>
    </xf>
    <xf numFmtId="38" fontId="0" fillId="0" borderId="21" xfId="0" applyNumberFormat="1" applyBorder="1"/>
    <xf numFmtId="10" fontId="0" fillId="0" borderId="21" xfId="9" applyNumberFormat="1" applyFont="1" applyBorder="1"/>
    <xf numFmtId="3" fontId="0" fillId="0" borderId="21" xfId="0" applyNumberFormat="1" applyBorder="1"/>
    <xf numFmtId="0" fontId="6" fillId="0" borderId="21" xfId="7" applyFont="1" applyBorder="1" applyAlignment="1">
      <alignment horizontal="left"/>
    </xf>
    <xf numFmtId="38" fontId="3" fillId="0" borderId="0" xfId="0" applyNumberFormat="1" applyFont="1"/>
    <xf numFmtId="10" fontId="3" fillId="0" borderId="0" xfId="9" applyNumberFormat="1" applyFont="1"/>
    <xf numFmtId="0" fontId="13" fillId="0" borderId="0" xfId="10" applyFont="1"/>
    <xf numFmtId="0" fontId="3" fillId="0" borderId="0" xfId="10"/>
    <xf numFmtId="3" fontId="3" fillId="0" borderId="0" xfId="10" applyNumberFormat="1"/>
    <xf numFmtId="38" fontId="3" fillId="0" borderId="0" xfId="10" applyNumberFormat="1"/>
    <xf numFmtId="10" fontId="3" fillId="0" borderId="0" xfId="10" applyNumberFormat="1"/>
    <xf numFmtId="0" fontId="7" fillId="0" borderId="0" xfId="10" applyFont="1"/>
    <xf numFmtId="0" fontId="7" fillId="0" borderId="0" xfId="10" applyFont="1" applyAlignment="1">
      <alignment horizontal="left"/>
    </xf>
    <xf numFmtId="0" fontId="7" fillId="0" borderId="0" xfId="10" applyFont="1" applyAlignment="1">
      <alignment horizontal="center"/>
    </xf>
    <xf numFmtId="3" fontId="7" fillId="0" borderId="0" xfId="10" applyNumberFormat="1" applyFont="1" applyAlignment="1">
      <alignment horizontal="center"/>
    </xf>
    <xf numFmtId="38" fontId="7" fillId="0" borderId="0" xfId="10" applyNumberFormat="1" applyFont="1" applyAlignment="1">
      <alignment horizontal="center"/>
    </xf>
    <xf numFmtId="10" fontId="7" fillId="0" borderId="0" xfId="10" applyNumberFormat="1" applyFont="1" applyAlignment="1">
      <alignment horizontal="center"/>
    </xf>
    <xf numFmtId="0" fontId="3" fillId="0" borderId="0" xfId="10" applyAlignment="1">
      <alignment horizontal="center"/>
    </xf>
    <xf numFmtId="0" fontId="4" fillId="0" borderId="22" xfId="7" applyFont="1" applyBorder="1" applyAlignment="1">
      <alignment horizontal="center" wrapText="1"/>
    </xf>
    <xf numFmtId="3" fontId="17" fillId="0" borderId="22" xfId="7" applyNumberFormat="1" applyFont="1" applyBorder="1" applyAlignment="1">
      <alignment horizontal="center" wrapText="1"/>
    </xf>
    <xf numFmtId="38" fontId="18" fillId="0" borderId="22" xfId="10" applyNumberFormat="1" applyFont="1" applyBorder="1" applyAlignment="1">
      <alignment horizontal="center" wrapText="1"/>
    </xf>
    <xf numFmtId="38" fontId="17" fillId="0" borderId="22" xfId="7" applyNumberFormat="1" applyFont="1" applyBorder="1" applyAlignment="1">
      <alignment horizontal="center" wrapText="1"/>
    </xf>
    <xf numFmtId="10" fontId="7" fillId="0" borderId="0" xfId="10" applyNumberFormat="1" applyFont="1" applyAlignment="1">
      <alignment horizontal="center" wrapText="1"/>
    </xf>
    <xf numFmtId="10" fontId="7" fillId="0" borderId="22" xfId="10" applyNumberFormat="1" applyFont="1" applyBorder="1" applyAlignment="1">
      <alignment horizontal="center" wrapText="1"/>
    </xf>
    <xf numFmtId="0" fontId="3" fillId="0" borderId="0" xfId="10" applyAlignment="1">
      <alignment wrapText="1"/>
    </xf>
    <xf numFmtId="38" fontId="4" fillId="0" borderId="22" xfId="7" applyNumberFormat="1" applyFont="1" applyBorder="1" applyAlignment="1">
      <alignment horizontal="center" wrapText="1"/>
    </xf>
    <xf numFmtId="38" fontId="3" fillId="0" borderId="0" xfId="10" applyNumberFormat="1" applyAlignment="1">
      <alignment horizontal="center" wrapText="1"/>
    </xf>
    <xf numFmtId="10" fontId="3" fillId="0" borderId="0" xfId="10" applyNumberFormat="1" applyAlignment="1">
      <alignment wrapText="1"/>
    </xf>
    <xf numFmtId="0" fontId="6" fillId="0" borderId="23" xfId="7" applyFont="1" applyBorder="1" applyAlignment="1">
      <alignment horizontal="center" wrapText="1"/>
    </xf>
    <xf numFmtId="0" fontId="6" fillId="0" borderId="22" xfId="7" applyFont="1" applyBorder="1" applyAlignment="1">
      <alignment horizontal="left" wrapText="1"/>
    </xf>
    <xf numFmtId="168" fontId="6" fillId="0" borderId="23" xfId="6" applyNumberFormat="1" applyBorder="1" applyAlignment="1">
      <alignment horizontal="right" wrapText="1"/>
    </xf>
    <xf numFmtId="38" fontId="6" fillId="0" borderId="25" xfId="7" applyNumberFormat="1" applyFont="1" applyBorder="1" applyAlignment="1">
      <alignment horizontal="right" wrapText="1"/>
    </xf>
    <xf numFmtId="10" fontId="3" fillId="0" borderId="0" xfId="10" applyNumberFormat="1" applyAlignment="1">
      <alignment horizontal="right"/>
    </xf>
    <xf numFmtId="168" fontId="6" fillId="0" borderId="23" xfId="1" applyNumberFormat="1" applyFont="1" applyFill="1" applyBorder="1" applyAlignment="1">
      <alignment horizontal="right" wrapText="1"/>
    </xf>
    <xf numFmtId="0" fontId="6" fillId="0" borderId="22" xfId="7" applyFont="1" applyBorder="1" applyAlignment="1">
      <alignment horizontal="left"/>
    </xf>
    <xf numFmtId="49" fontId="6" fillId="0" borderId="22" xfId="7" applyNumberFormat="1" applyFont="1" applyBorder="1" applyAlignment="1">
      <alignment horizontal="center" wrapText="1"/>
    </xf>
    <xf numFmtId="49" fontId="6" fillId="0" borderId="23" xfId="7" applyNumberFormat="1" applyFont="1" applyBorder="1" applyAlignment="1">
      <alignment horizontal="center" wrapText="1"/>
    </xf>
    <xf numFmtId="3" fontId="3" fillId="0" borderId="0" xfId="10" applyNumberFormat="1" applyAlignment="1">
      <alignment horizontal="right"/>
    </xf>
    <xf numFmtId="38" fontId="3" fillId="0" borderId="0" xfId="10" applyNumberFormat="1" applyAlignment="1">
      <alignment horizontal="right"/>
    </xf>
    <xf numFmtId="0" fontId="3" fillId="0" borderId="0" xfId="10" applyAlignment="1">
      <alignment horizontal="right"/>
    </xf>
    <xf numFmtId="0" fontId="3" fillId="0" borderId="0" xfId="10" applyAlignment="1">
      <alignment horizontal="left"/>
    </xf>
    <xf numFmtId="49" fontId="8" fillId="0" borderId="0" xfId="10" applyNumberFormat="1" applyFont="1" applyAlignment="1">
      <alignment horizontal="left"/>
    </xf>
    <xf numFmtId="0" fontId="19" fillId="0" borderId="0" xfId="0" applyFont="1"/>
    <xf numFmtId="0" fontId="3" fillId="0" borderId="0" xfId="0" applyFont="1" applyAlignment="1">
      <alignment horizontal="center"/>
    </xf>
    <xf numFmtId="0" fontId="7" fillId="0" borderId="22" xfId="0" applyFont="1" applyBorder="1" applyAlignment="1">
      <alignment horizontal="center" wrapText="1"/>
    </xf>
    <xf numFmtId="0" fontId="4" fillId="0" borderId="22" xfId="7" applyFont="1" applyBorder="1" applyAlignment="1">
      <alignment horizontal="center"/>
    </xf>
    <xf numFmtId="0" fontId="4" fillId="10" borderId="22" xfId="7" applyFont="1" applyFill="1" applyBorder="1" applyAlignment="1">
      <alignment horizontal="center" wrapText="1"/>
    </xf>
    <xf numFmtId="38" fontId="4" fillId="10" borderId="22" xfId="7" applyNumberFormat="1" applyFont="1" applyFill="1" applyBorder="1" applyAlignment="1">
      <alignment horizontal="center" wrapText="1"/>
    </xf>
    <xf numFmtId="38" fontId="4" fillId="8" borderId="22" xfId="7" applyNumberFormat="1" applyFont="1" applyFill="1" applyBorder="1" applyAlignment="1">
      <alignment horizontal="center" wrapText="1"/>
    </xf>
    <xf numFmtId="10" fontId="7" fillId="0" borderId="22" xfId="0" applyNumberFormat="1" applyFont="1" applyBorder="1" applyAlignment="1">
      <alignment horizontal="center" wrapText="1"/>
    </xf>
    <xf numFmtId="3" fontId="7" fillId="0" borderId="23" xfId="0" applyNumberFormat="1" applyFont="1" applyBorder="1" applyAlignment="1">
      <alignment horizontal="center" wrapText="1"/>
    </xf>
    <xf numFmtId="0" fontId="4" fillId="0" borderId="25" xfId="7" applyFont="1" applyBorder="1" applyAlignment="1">
      <alignment horizontal="center"/>
    </xf>
    <xf numFmtId="38" fontId="4" fillId="10" borderId="0" xfId="7" applyNumberFormat="1" applyFont="1" applyFill="1" applyAlignment="1">
      <alignment horizontal="center" wrapText="1"/>
    </xf>
    <xf numFmtId="38" fontId="4" fillId="10" borderId="25" xfId="7" applyNumberFormat="1" applyFont="1" applyFill="1" applyBorder="1" applyAlignment="1">
      <alignment horizontal="center" wrapText="1"/>
    </xf>
    <xf numFmtId="38" fontId="4" fillId="8" borderId="25" xfId="7" applyNumberFormat="1" applyFont="1" applyFill="1" applyBorder="1" applyAlignment="1">
      <alignment horizontal="center" wrapText="1"/>
    </xf>
    <xf numFmtId="38" fontId="4" fillId="0" borderId="25" xfId="7" applyNumberFormat="1" applyFont="1" applyBorder="1" applyAlignment="1">
      <alignment horizontal="center" wrapText="1"/>
    </xf>
    <xf numFmtId="3" fontId="7" fillId="0" borderId="26" xfId="0" applyNumberFormat="1" applyFont="1" applyBorder="1" applyAlignment="1">
      <alignment horizontal="center" wrapText="1"/>
    </xf>
    <xf numFmtId="0" fontId="6" fillId="0" borderId="22" xfId="7" applyFont="1" applyBorder="1" applyAlignment="1">
      <alignment horizontal="center" wrapText="1"/>
    </xf>
    <xf numFmtId="3" fontId="0" fillId="10" borderId="23" xfId="0" applyNumberFormat="1" applyFill="1" applyBorder="1"/>
    <xf numFmtId="38" fontId="6" fillId="10" borderId="22" xfId="7" applyNumberFormat="1" applyFont="1" applyFill="1" applyBorder="1" applyAlignment="1">
      <alignment horizontal="right" wrapText="1"/>
    </xf>
    <xf numFmtId="38" fontId="6" fillId="8" borderId="22" xfId="7" applyNumberFormat="1" applyFont="1" applyFill="1" applyBorder="1" applyAlignment="1">
      <alignment horizontal="right" wrapText="1"/>
    </xf>
    <xf numFmtId="38" fontId="6" fillId="0" borderId="22" xfId="7" applyNumberFormat="1" applyFont="1" applyBorder="1" applyAlignment="1">
      <alignment horizontal="right" wrapText="1"/>
    </xf>
    <xf numFmtId="10" fontId="0" fillId="0" borderId="23" xfId="0" applyNumberFormat="1" applyBorder="1" applyAlignment="1">
      <alignment horizontal="right"/>
    </xf>
    <xf numFmtId="168" fontId="6" fillId="0" borderId="22" xfId="1" applyNumberFormat="1" applyFont="1" applyFill="1" applyBorder="1" applyAlignment="1">
      <alignment horizontal="right" wrapText="1"/>
    </xf>
    <xf numFmtId="3" fontId="0" fillId="0" borderId="23" xfId="0" applyNumberFormat="1" applyBorder="1"/>
    <xf numFmtId="168" fontId="0" fillId="0" borderId="19" xfId="0" applyNumberFormat="1" applyBorder="1"/>
    <xf numFmtId="9" fontId="7" fillId="0" borderId="0" xfId="9" applyFont="1" applyFill="1"/>
    <xf numFmtId="0" fontId="22" fillId="0" borderId="23" xfId="13" applyFont="1" applyBorder="1" applyAlignment="1">
      <alignment horizontal="center"/>
    </xf>
    <xf numFmtId="0" fontId="23" fillId="0" borderId="11" xfId="14" applyFont="1" applyBorder="1" applyAlignment="1">
      <alignment wrapText="1"/>
    </xf>
    <xf numFmtId="0" fontId="22" fillId="0" borderId="11" xfId="14" applyFont="1" applyBorder="1" applyAlignment="1">
      <alignment wrapText="1"/>
    </xf>
    <xf numFmtId="0" fontId="22" fillId="0" borderId="29" xfId="14" applyFont="1" applyBorder="1" applyAlignment="1">
      <alignment wrapText="1"/>
    </xf>
    <xf numFmtId="167" fontId="0" fillId="0" borderId="0" xfId="9" applyNumberFormat="1" applyFont="1"/>
    <xf numFmtId="0" fontId="25" fillId="0" borderId="0" xfId="18" applyFont="1" applyAlignment="1">
      <alignment horizontal="left"/>
    </xf>
    <xf numFmtId="0" fontId="24" fillId="0" borderId="0" xfId="18" applyAlignment="1">
      <alignment horizontal="centerContinuous"/>
    </xf>
    <xf numFmtId="0" fontId="24" fillId="0" borderId="0" xfId="18"/>
    <xf numFmtId="0" fontId="24" fillId="5" borderId="23" xfId="18" applyFill="1" applyBorder="1"/>
    <xf numFmtId="0" fontId="26" fillId="0" borderId="30" xfId="18" applyFont="1" applyBorder="1" applyAlignment="1">
      <alignment horizontal="center"/>
    </xf>
    <xf numFmtId="0" fontId="24" fillId="0" borderId="30" xfId="18" applyBorder="1"/>
    <xf numFmtId="0" fontId="7" fillId="0" borderId="31" xfId="18" applyFont="1" applyBorder="1" applyAlignment="1" applyProtection="1">
      <alignment horizontal="left"/>
      <protection locked="0"/>
    </xf>
    <xf numFmtId="3" fontId="7" fillId="10" borderId="31" xfId="18" quotePrefix="1" applyNumberFormat="1" applyFont="1" applyFill="1" applyBorder="1" applyAlignment="1" applyProtection="1">
      <alignment horizontal="center" vertical="center" wrapText="1"/>
      <protection locked="0"/>
    </xf>
    <xf numFmtId="3" fontId="7" fillId="11" borderId="31" xfId="18" quotePrefix="1" applyNumberFormat="1" applyFont="1" applyFill="1" applyBorder="1" applyAlignment="1" applyProtection="1">
      <alignment horizontal="center" vertical="center" wrapText="1"/>
      <protection locked="0"/>
    </xf>
    <xf numFmtId="3" fontId="7" fillId="0" borderId="31" xfId="18" applyNumberFormat="1" applyFont="1" applyBorder="1" applyAlignment="1" applyProtection="1">
      <alignment horizontal="center" vertical="center" wrapText="1"/>
      <protection locked="0"/>
    </xf>
    <xf numFmtId="3" fontId="7" fillId="11" borderId="31" xfId="18" applyNumberFormat="1" applyFont="1" applyFill="1" applyBorder="1" applyAlignment="1" applyProtection="1">
      <alignment horizontal="center" vertical="center" wrapText="1"/>
      <protection locked="0"/>
    </xf>
    <xf numFmtId="0" fontId="7" fillId="0" borderId="31" xfId="18" applyFont="1" applyBorder="1" applyAlignment="1" applyProtection="1">
      <alignment horizontal="center" vertical="center" wrapText="1"/>
      <protection locked="0"/>
    </xf>
    <xf numFmtId="0" fontId="7" fillId="10" borderId="31" xfId="18" applyFont="1" applyFill="1" applyBorder="1" applyAlignment="1" applyProtection="1">
      <alignment horizontal="center" vertical="center" wrapText="1"/>
      <protection locked="0"/>
    </xf>
    <xf numFmtId="0" fontId="7" fillId="11" borderId="31" xfId="18" applyFont="1" applyFill="1" applyBorder="1" applyAlignment="1" applyProtection="1">
      <alignment horizontal="center" vertical="center" wrapText="1"/>
      <protection locked="0"/>
    </xf>
    <xf numFmtId="3" fontId="7" fillId="0" borderId="32" xfId="18" applyNumberFormat="1" applyFont="1" applyBorder="1" applyAlignment="1" applyProtection="1">
      <alignment horizontal="center" vertical="center" wrapText="1"/>
      <protection locked="0"/>
    </xf>
    <xf numFmtId="0" fontId="3" fillId="0" borderId="0" xfId="18" applyFont="1" applyAlignment="1" applyProtection="1">
      <alignment horizontal="right"/>
      <protection locked="0"/>
    </xf>
    <xf numFmtId="0" fontId="6" fillId="0" borderId="23" xfId="19" applyBorder="1" applyAlignment="1">
      <alignment wrapText="1"/>
    </xf>
    <xf numFmtId="3" fontId="3" fillId="10" borderId="33" xfId="18" quotePrefix="1" applyNumberFormat="1" applyFont="1" applyFill="1" applyBorder="1" applyProtection="1">
      <protection locked="0"/>
    </xf>
    <xf numFmtId="3" fontId="3" fillId="11" borderId="33" xfId="18" quotePrefix="1" applyNumberFormat="1" applyFont="1" applyFill="1" applyBorder="1" applyProtection="1">
      <protection locked="0"/>
    </xf>
    <xf numFmtId="3" fontId="3" fillId="0" borderId="33" xfId="18" quotePrefix="1" applyNumberFormat="1" applyFont="1" applyBorder="1" applyProtection="1">
      <protection locked="0"/>
    </xf>
    <xf numFmtId="3" fontId="3" fillId="0" borderId="34" xfId="18" applyNumberFormat="1" applyFont="1" applyBorder="1" applyProtection="1">
      <protection locked="0"/>
    </xf>
    <xf numFmtId="167" fontId="3" fillId="0" borderId="35" xfId="20" applyNumberFormat="1" applyFont="1" applyBorder="1" applyProtection="1">
      <protection locked="0"/>
    </xf>
    <xf numFmtId="1" fontId="3" fillId="10" borderId="29" xfId="18" applyNumberFormat="1" applyFont="1" applyFill="1" applyBorder="1" applyProtection="1">
      <protection locked="0"/>
    </xf>
    <xf numFmtId="1" fontId="3" fillId="11" borderId="29" xfId="18" applyNumberFormat="1" applyFont="1" applyFill="1" applyBorder="1" applyProtection="1">
      <protection locked="0"/>
    </xf>
    <xf numFmtId="3" fontId="3" fillId="10" borderId="29" xfId="18" applyNumberFormat="1" applyFont="1" applyFill="1" applyBorder="1" applyProtection="1">
      <protection locked="0"/>
    </xf>
    <xf numFmtId="167" fontId="3" fillId="0" borderId="23" xfId="20" applyNumberFormat="1" applyFont="1" applyBorder="1" applyProtection="1">
      <protection locked="0"/>
    </xf>
    <xf numFmtId="0" fontId="3" fillId="0" borderId="0" xfId="18" applyFont="1" applyProtection="1">
      <protection locked="0"/>
    </xf>
    <xf numFmtId="0" fontId="3" fillId="0" borderId="36" xfId="18" quotePrefix="1" applyFont="1" applyBorder="1" applyProtection="1">
      <protection locked="0"/>
    </xf>
    <xf numFmtId="3" fontId="3" fillId="0" borderId="28" xfId="18" quotePrefix="1" applyNumberFormat="1" applyFont="1" applyBorder="1" applyProtection="1">
      <protection locked="0"/>
    </xf>
    <xf numFmtId="3" fontId="3" fillId="11" borderId="28" xfId="18" quotePrefix="1" applyNumberFormat="1" applyFont="1" applyFill="1" applyBorder="1" applyProtection="1">
      <protection locked="0"/>
    </xf>
    <xf numFmtId="3" fontId="3" fillId="0" borderId="23" xfId="18" applyNumberFormat="1" applyFont="1" applyBorder="1" applyProtection="1">
      <protection locked="0"/>
    </xf>
    <xf numFmtId="1" fontId="3" fillId="10" borderId="23" xfId="18" applyNumberFormat="1" applyFont="1" applyFill="1" applyBorder="1" applyProtection="1">
      <protection locked="0"/>
    </xf>
    <xf numFmtId="168" fontId="3" fillId="11" borderId="23" xfId="21" applyNumberFormat="1" applyFont="1" applyFill="1" applyBorder="1" applyProtection="1">
      <protection locked="0"/>
    </xf>
    <xf numFmtId="3" fontId="3" fillId="10" borderId="23" xfId="18" applyNumberFormat="1" applyFont="1" applyFill="1" applyBorder="1" applyProtection="1">
      <protection locked="0"/>
    </xf>
    <xf numFmtId="0" fontId="3" fillId="0" borderId="36" xfId="18" quotePrefix="1" applyFont="1" applyBorder="1" applyAlignment="1" applyProtection="1">
      <alignment horizontal="left"/>
      <protection locked="0"/>
    </xf>
    <xf numFmtId="0" fontId="3" fillId="0" borderId="36" xfId="18" applyFont="1" applyBorder="1" applyAlignment="1" applyProtection="1">
      <alignment horizontal="left" indent="2"/>
      <protection locked="0"/>
    </xf>
    <xf numFmtId="0" fontId="3" fillId="0" borderId="38" xfId="18" quotePrefix="1" applyFont="1" applyBorder="1" applyProtection="1">
      <protection locked="0"/>
    </xf>
    <xf numFmtId="167" fontId="3" fillId="0" borderId="30" xfId="20" applyNumberFormat="1" applyFont="1" applyBorder="1" applyProtection="1">
      <protection locked="0"/>
    </xf>
    <xf numFmtId="1" fontId="3" fillId="11" borderId="23" xfId="18" applyNumberFormat="1" applyFont="1" applyFill="1" applyBorder="1" applyProtection="1">
      <protection locked="0"/>
    </xf>
    <xf numFmtId="0" fontId="7" fillId="0" borderId="39" xfId="18" applyFont="1" applyBorder="1" applyProtection="1">
      <protection locked="0"/>
    </xf>
    <xf numFmtId="3" fontId="7" fillId="10" borderId="40" xfId="18" applyNumberFormat="1" applyFont="1" applyFill="1" applyBorder="1" applyProtection="1">
      <protection locked="0"/>
    </xf>
    <xf numFmtId="3" fontId="7" fillId="11" borderId="40" xfId="18" applyNumberFormat="1" applyFont="1" applyFill="1" applyBorder="1" applyProtection="1">
      <protection locked="0"/>
    </xf>
    <xf numFmtId="3" fontId="7" fillId="0" borderId="40" xfId="18" applyNumberFormat="1" applyFont="1" applyBorder="1" applyProtection="1">
      <protection locked="0"/>
    </xf>
    <xf numFmtId="167" fontId="7" fillId="0" borderId="41" xfId="20" applyNumberFormat="1" applyFont="1" applyBorder="1" applyProtection="1">
      <protection locked="0"/>
    </xf>
    <xf numFmtId="0" fontId="7" fillId="0" borderId="0" xfId="18" applyFont="1" applyProtection="1">
      <protection locked="0"/>
    </xf>
    <xf numFmtId="3" fontId="3" fillId="0" borderId="0" xfId="18" applyNumberFormat="1" applyFont="1" applyProtection="1">
      <protection locked="0"/>
    </xf>
    <xf numFmtId="167" fontId="3" fillId="0" borderId="0" xfId="20" applyNumberFormat="1" applyFont="1" applyProtection="1">
      <protection locked="0"/>
    </xf>
    <xf numFmtId="0" fontId="7" fillId="0" borderId="31" xfId="18" applyFont="1" applyBorder="1" applyProtection="1">
      <protection locked="0"/>
    </xf>
    <xf numFmtId="3" fontId="3" fillId="0" borderId="42" xfId="18" quotePrefix="1" applyNumberFormat="1" applyFont="1" applyBorder="1" applyProtection="1">
      <protection locked="0"/>
    </xf>
    <xf numFmtId="3" fontId="3" fillId="0" borderId="0" xfId="18" quotePrefix="1" applyNumberFormat="1" applyFont="1" applyProtection="1">
      <protection locked="0"/>
    </xf>
    <xf numFmtId="0" fontId="3" fillId="0" borderId="33" xfId="18" quotePrefix="1" applyFont="1" applyBorder="1" applyProtection="1">
      <protection locked="0"/>
    </xf>
    <xf numFmtId="3" fontId="3" fillId="0" borderId="35" xfId="18" quotePrefix="1" applyNumberFormat="1" applyFont="1" applyBorder="1" applyProtection="1">
      <protection locked="0"/>
    </xf>
    <xf numFmtId="3" fontId="3" fillId="0" borderId="35" xfId="18" applyNumberFormat="1" applyFont="1" applyBorder="1" applyProtection="1">
      <protection locked="0"/>
    </xf>
    <xf numFmtId="167" fontId="3" fillId="0" borderId="10" xfId="20" applyNumberFormat="1" applyFont="1" applyBorder="1" applyProtection="1">
      <protection locked="0"/>
    </xf>
    <xf numFmtId="3" fontId="7" fillId="12" borderId="40" xfId="18" applyNumberFormat="1" applyFont="1" applyFill="1" applyBorder="1" applyProtection="1">
      <protection locked="0"/>
    </xf>
    <xf numFmtId="0" fontId="7" fillId="0" borderId="43" xfId="18" applyFont="1" applyBorder="1" applyProtection="1">
      <protection locked="0"/>
    </xf>
    <xf numFmtId="3" fontId="7" fillId="10" borderId="43" xfId="18" applyNumberFormat="1" applyFont="1" applyFill="1" applyBorder="1" applyProtection="1">
      <protection locked="0"/>
    </xf>
    <xf numFmtId="3" fontId="7" fillId="11" borderId="43" xfId="18" applyNumberFormat="1" applyFont="1" applyFill="1" applyBorder="1" applyProtection="1">
      <protection locked="0"/>
    </xf>
    <xf numFmtId="3" fontId="7" fillId="0" borderId="43" xfId="18" applyNumberFormat="1" applyFont="1" applyBorder="1" applyProtection="1">
      <protection locked="0"/>
    </xf>
    <xf numFmtId="167" fontId="7" fillId="0" borderId="43" xfId="20" applyNumberFormat="1" applyFont="1" applyBorder="1" applyProtection="1">
      <protection locked="0"/>
    </xf>
    <xf numFmtId="0" fontId="7" fillId="0" borderId="44" xfId="18" applyFont="1" applyBorder="1"/>
    <xf numFmtId="0" fontId="24" fillId="0" borderId="45" xfId="18" applyBorder="1"/>
    <xf numFmtId="0" fontId="24" fillId="0" borderId="46" xfId="18" applyBorder="1"/>
    <xf numFmtId="0" fontId="24" fillId="0" borderId="47" xfId="18" applyBorder="1"/>
    <xf numFmtId="1" fontId="3" fillId="0" borderId="29" xfId="18" applyNumberFormat="1" applyFont="1" applyBorder="1" applyProtection="1">
      <protection locked="0"/>
    </xf>
    <xf numFmtId="1" fontId="3" fillId="0" borderId="0" xfId="18" applyNumberFormat="1" applyFont="1" applyProtection="1">
      <protection locked="0"/>
    </xf>
    <xf numFmtId="3" fontId="24" fillId="0" borderId="0" xfId="18" applyNumberFormat="1"/>
    <xf numFmtId="0" fontId="7" fillId="0" borderId="1" xfId="0" applyFont="1" applyBorder="1" applyAlignment="1">
      <alignment horizontal="center" wrapText="1"/>
    </xf>
    <xf numFmtId="0" fontId="0" fillId="0" borderId="0" xfId="0" applyAlignment="1">
      <alignment horizontal="left"/>
    </xf>
    <xf numFmtId="168" fontId="3" fillId="0" borderId="0" xfId="1" applyNumberFormat="1" applyFont="1" applyAlignment="1">
      <alignment horizontal="left"/>
    </xf>
    <xf numFmtId="10" fontId="0" fillId="0" borderId="0" xfId="0" applyNumberFormat="1" applyAlignment="1">
      <alignment horizontal="left"/>
    </xf>
    <xf numFmtId="10" fontId="3" fillId="0" borderId="0" xfId="0" applyNumberFormat="1" applyFont="1" applyAlignment="1">
      <alignment horizontal="left"/>
    </xf>
    <xf numFmtId="38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67" fontId="0" fillId="0" borderId="0" xfId="9" applyNumberFormat="1" applyFont="1" applyAlignment="1">
      <alignment horizontal="right"/>
    </xf>
    <xf numFmtId="0" fontId="3" fillId="0" borderId="0" xfId="0" applyFont="1" applyAlignment="1">
      <alignment horizontal="center" wrapText="1"/>
    </xf>
    <xf numFmtId="168" fontId="0" fillId="9" borderId="0" xfId="1" applyNumberFormat="1" applyFont="1" applyFill="1"/>
    <xf numFmtId="167" fontId="8" fillId="0" borderId="0" xfId="9" applyNumberFormat="1" applyFont="1" applyFill="1" applyBorder="1" applyAlignment="1">
      <alignment horizontal="center"/>
    </xf>
    <xf numFmtId="10" fontId="3" fillId="0" borderId="23" xfId="10" applyNumberFormat="1" applyBorder="1" applyAlignment="1">
      <alignment horizontal="right"/>
    </xf>
    <xf numFmtId="0" fontId="7" fillId="12" borderId="19" xfId="0" applyFont="1" applyFill="1" applyBorder="1" applyAlignment="1">
      <alignment horizontal="center" wrapText="1"/>
    </xf>
    <xf numFmtId="0" fontId="0" fillId="12" borderId="0" xfId="0" applyFill="1"/>
    <xf numFmtId="168" fontId="3" fillId="13" borderId="19" xfId="1" applyNumberFormat="1" applyFont="1" applyFill="1" applyBorder="1"/>
    <xf numFmtId="168" fontId="3" fillId="12" borderId="19" xfId="1" applyNumberFormat="1" applyFont="1" applyFill="1" applyBorder="1"/>
    <xf numFmtId="0" fontId="21" fillId="0" borderId="0" xfId="22" applyFont="1"/>
    <xf numFmtId="167" fontId="21" fillId="0" borderId="0" xfId="22" applyNumberFormat="1" applyFont="1"/>
    <xf numFmtId="0" fontId="20" fillId="0" borderId="23" xfId="22" applyFont="1" applyBorder="1" applyAlignment="1">
      <alignment wrapText="1"/>
    </xf>
    <xf numFmtId="167" fontId="20" fillId="0" borderId="27" xfId="22" applyNumberFormat="1" applyFont="1" applyBorder="1" applyAlignment="1">
      <alignment horizontal="center" vertical="center" wrapText="1"/>
    </xf>
    <xf numFmtId="0" fontId="21" fillId="0" borderId="0" xfId="22" applyFont="1" applyAlignment="1">
      <alignment wrapText="1"/>
    </xf>
    <xf numFmtId="0" fontId="21" fillId="0" borderId="11" xfId="22" applyFont="1" applyBorder="1"/>
    <xf numFmtId="0" fontId="20" fillId="0" borderId="11" xfId="22" applyFont="1" applyBorder="1"/>
    <xf numFmtId="0" fontId="20" fillId="0" borderId="29" xfId="22" applyFont="1" applyBorder="1"/>
    <xf numFmtId="3" fontId="21" fillId="0" borderId="0" xfId="22" applyNumberFormat="1" applyFont="1"/>
    <xf numFmtId="3" fontId="20" fillId="0" borderId="23" xfId="22" applyNumberFormat="1" applyFont="1" applyBorder="1" applyAlignment="1">
      <alignment horizontal="center" vertical="center" wrapText="1"/>
    </xf>
    <xf numFmtId="4" fontId="20" fillId="0" borderId="23" xfId="22" applyNumberFormat="1" applyFont="1" applyBorder="1" applyAlignment="1">
      <alignment horizontal="center" vertical="center" wrapText="1"/>
    </xf>
    <xf numFmtId="0" fontId="20" fillId="0" borderId="13" xfId="22" applyFont="1" applyBorder="1"/>
    <xf numFmtId="3" fontId="20" fillId="0" borderId="26" xfId="22" applyNumberFormat="1" applyFont="1" applyBorder="1"/>
    <xf numFmtId="0" fontId="23" fillId="0" borderId="10" xfId="14" applyFont="1" applyBorder="1" applyAlignment="1">
      <alignment wrapText="1"/>
    </xf>
    <xf numFmtId="0" fontId="22" fillId="0" borderId="11" xfId="17" applyFont="1" applyBorder="1" applyAlignment="1">
      <alignment wrapText="1"/>
    </xf>
    <xf numFmtId="0" fontId="23" fillId="0" borderId="11" xfId="14" applyFont="1" applyBorder="1"/>
    <xf numFmtId="38" fontId="6" fillId="0" borderId="9" xfId="7" applyNumberFormat="1" applyFont="1" applyBorder="1" applyAlignment="1">
      <alignment horizontal="right" wrapText="1"/>
    </xf>
    <xf numFmtId="168" fontId="6" fillId="0" borderId="7" xfId="5" applyNumberFormat="1" applyBorder="1" applyAlignment="1">
      <alignment horizontal="right" wrapText="1"/>
    </xf>
    <xf numFmtId="168" fontId="6" fillId="0" borderId="9" xfId="7" applyNumberFormat="1" applyFont="1" applyBorder="1" applyAlignment="1">
      <alignment horizontal="right" wrapText="1"/>
    </xf>
    <xf numFmtId="0" fontId="27" fillId="0" borderId="0" xfId="0" applyFont="1" applyAlignment="1">
      <alignment horizontal="center"/>
    </xf>
    <xf numFmtId="0" fontId="26" fillId="0" borderId="0" xfId="18" applyFont="1" applyAlignment="1">
      <alignment horizontal="centerContinuous"/>
    </xf>
    <xf numFmtId="6" fontId="7" fillId="0" borderId="0" xfId="0" applyNumberFormat="1" applyFont="1"/>
    <xf numFmtId="0" fontId="7" fillId="0" borderId="0" xfId="0" applyFont="1" applyAlignment="1">
      <alignment horizontal="right"/>
    </xf>
    <xf numFmtId="38" fontId="7" fillId="0" borderId="0" xfId="0" applyNumberFormat="1" applyFont="1" applyAlignment="1">
      <alignment horizontal="right"/>
    </xf>
    <xf numFmtId="10" fontId="7" fillId="0" borderId="0" xfId="10" applyNumberFormat="1" applyFont="1" applyAlignment="1">
      <alignment horizontal="right"/>
    </xf>
    <xf numFmtId="0" fontId="27" fillId="0" borderId="0" xfId="0" applyFont="1" applyAlignment="1">
      <alignment horizontal="right"/>
    </xf>
    <xf numFmtId="1" fontId="7" fillId="0" borderId="0" xfId="0" applyNumberFormat="1" applyFont="1" applyAlignment="1">
      <alignment horizontal="right"/>
    </xf>
    <xf numFmtId="168" fontId="0" fillId="9" borderId="23" xfId="1" applyNumberFormat="1" applyFont="1" applyFill="1" applyBorder="1"/>
    <xf numFmtId="0" fontId="4" fillId="8" borderId="22" xfId="7" applyFont="1" applyFill="1" applyBorder="1" applyAlignment="1">
      <alignment horizontal="center" wrapText="1"/>
    </xf>
    <xf numFmtId="38" fontId="4" fillId="8" borderId="0" xfId="7" applyNumberFormat="1" applyFont="1" applyFill="1" applyAlignment="1">
      <alignment horizontal="center" wrapText="1"/>
    </xf>
    <xf numFmtId="3" fontId="0" fillId="8" borderId="23" xfId="0" applyNumberFormat="1" applyFill="1" applyBorder="1"/>
    <xf numFmtId="0" fontId="21" fillId="0" borderId="0" xfId="0" applyFont="1"/>
    <xf numFmtId="38" fontId="6" fillId="0" borderId="22" xfId="1" applyNumberFormat="1" applyFont="1" applyFill="1" applyBorder="1" applyAlignment="1">
      <alignment horizontal="right" wrapText="1"/>
    </xf>
    <xf numFmtId="49" fontId="7" fillId="0" borderId="26" xfId="0" applyNumberFormat="1" applyFont="1" applyBorder="1" applyAlignment="1">
      <alignment horizontal="center"/>
    </xf>
    <xf numFmtId="38" fontId="7" fillId="0" borderId="13" xfId="0" applyNumberFormat="1" applyFont="1" applyBorder="1" applyAlignment="1">
      <alignment horizontal="center"/>
    </xf>
    <xf numFmtId="38" fontId="7" fillId="0" borderId="23" xfId="0" applyNumberFormat="1" applyFont="1" applyBorder="1" applyAlignment="1">
      <alignment horizontal="center" wrapText="1"/>
    </xf>
    <xf numFmtId="38" fontId="6" fillId="0" borderId="48" xfId="5" applyNumberFormat="1" applyBorder="1" applyAlignment="1">
      <alignment horizontal="center"/>
    </xf>
    <xf numFmtId="0" fontId="7" fillId="9" borderId="49" xfId="0" applyFont="1" applyFill="1" applyBorder="1" applyAlignment="1">
      <alignment horizontal="center" wrapText="1"/>
    </xf>
    <xf numFmtId="168" fontId="6" fillId="0" borderId="8" xfId="1" applyNumberFormat="1" applyFont="1" applyFill="1" applyBorder="1" applyAlignment="1">
      <alignment horizontal="right" wrapText="1"/>
    </xf>
    <xf numFmtId="0" fontId="6" fillId="0" borderId="1" xfId="7" applyFont="1" applyBorder="1"/>
    <xf numFmtId="167" fontId="23" fillId="0" borderId="50" xfId="9" applyNumberFormat="1" applyFont="1" applyFill="1" applyBorder="1" applyAlignment="1">
      <alignment horizontal="right" wrapText="1"/>
    </xf>
    <xf numFmtId="168" fontId="21" fillId="0" borderId="0" xfId="1" applyNumberFormat="1" applyFont="1"/>
    <xf numFmtId="167" fontId="23" fillId="0" borderId="11" xfId="9" applyNumberFormat="1" applyFont="1" applyFill="1" applyBorder="1" applyAlignment="1">
      <alignment horizontal="right" wrapText="1"/>
    </xf>
    <xf numFmtId="167" fontId="22" fillId="0" borderId="11" xfId="9" applyNumberFormat="1" applyFont="1" applyFill="1" applyBorder="1" applyAlignment="1">
      <alignment horizontal="right" wrapText="1"/>
    </xf>
    <xf numFmtId="168" fontId="20" fillId="0" borderId="0" xfId="1" applyNumberFormat="1" applyFont="1"/>
    <xf numFmtId="168" fontId="20" fillId="0" borderId="11" xfId="1" applyNumberFormat="1" applyFont="1" applyBorder="1"/>
    <xf numFmtId="167" fontId="22" fillId="0" borderId="51" xfId="9" applyNumberFormat="1" applyFont="1" applyFill="1" applyBorder="1" applyAlignment="1">
      <alignment horizontal="right" wrapText="1"/>
    </xf>
    <xf numFmtId="168" fontId="20" fillId="0" borderId="51" xfId="1" applyNumberFormat="1" applyFont="1" applyBorder="1"/>
    <xf numFmtId="10" fontId="0" fillId="0" borderId="0" xfId="9" applyNumberFormat="1" applyFont="1"/>
    <xf numFmtId="38" fontId="0" fillId="5" borderId="0" xfId="0" applyNumberFormat="1" applyFill="1"/>
    <xf numFmtId="168" fontId="6" fillId="0" borderId="24" xfId="7" applyNumberFormat="1" applyFont="1" applyBorder="1" applyAlignment="1">
      <alignment horizontal="right" wrapText="1"/>
    </xf>
    <xf numFmtId="167" fontId="21" fillId="0" borderId="0" xfId="9" applyNumberFormat="1" applyFont="1"/>
    <xf numFmtId="167" fontId="20" fillId="0" borderId="23" xfId="9" applyNumberFormat="1" applyFont="1" applyBorder="1" applyAlignment="1">
      <alignment horizontal="center" vertical="center" wrapText="1"/>
    </xf>
    <xf numFmtId="167" fontId="20" fillId="0" borderId="26" xfId="9" applyNumberFormat="1" applyFont="1" applyBorder="1"/>
    <xf numFmtId="38" fontId="3" fillId="0" borderId="1" xfId="0" applyNumberFormat="1" applyFont="1" applyBorder="1"/>
    <xf numFmtId="0" fontId="21" fillId="0" borderId="50" xfId="0" applyFont="1" applyBorder="1"/>
    <xf numFmtId="0" fontId="21" fillId="0" borderId="11" xfId="0" applyFont="1" applyBorder="1"/>
    <xf numFmtId="0" fontId="20" fillId="0" borderId="11" xfId="0" applyFont="1" applyBorder="1"/>
    <xf numFmtId="0" fontId="20" fillId="0" borderId="51" xfId="0" applyFont="1" applyBorder="1"/>
    <xf numFmtId="0" fontId="20" fillId="0" borderId="52" xfId="0" applyFont="1" applyBorder="1"/>
    <xf numFmtId="9" fontId="0" fillId="0" borderId="0" xfId="9" applyFont="1"/>
    <xf numFmtId="38" fontId="7" fillId="4" borderId="0" xfId="0" applyNumberFormat="1" applyFont="1" applyFill="1"/>
    <xf numFmtId="167" fontId="3" fillId="0" borderId="0" xfId="9" applyNumberFormat="1" applyFont="1" applyFill="1"/>
    <xf numFmtId="3" fontId="20" fillId="0" borderId="49" xfId="22" applyNumberFormat="1" applyFont="1" applyBorder="1"/>
    <xf numFmtId="167" fontId="20" fillId="0" borderId="49" xfId="9" applyNumberFormat="1" applyFont="1" applyBorder="1"/>
    <xf numFmtId="167" fontId="7" fillId="0" borderId="0" xfId="9" applyNumberFormat="1" applyFont="1" applyFill="1"/>
    <xf numFmtId="38" fontId="3" fillId="0" borderId="21" xfId="0" applyNumberFormat="1" applyFont="1" applyBorder="1"/>
    <xf numFmtId="3" fontId="3" fillId="0" borderId="21" xfId="0" applyNumberFormat="1" applyFont="1" applyBorder="1"/>
    <xf numFmtId="168" fontId="7" fillId="0" borderId="0" xfId="1" applyNumberFormat="1" applyFont="1" applyFill="1" applyBorder="1"/>
    <xf numFmtId="43" fontId="0" fillId="0" borderId="0" xfId="1" applyFont="1"/>
    <xf numFmtId="168" fontId="20" fillId="0" borderId="0" xfId="1" applyNumberFormat="1" applyFont="1" applyAlignment="1">
      <alignment horizontal="right"/>
    </xf>
    <xf numFmtId="168" fontId="20" fillId="0" borderId="24" xfId="1" applyNumberFormat="1" applyFont="1" applyBorder="1" applyAlignment="1">
      <alignment horizontal="center" vertical="center" wrapText="1"/>
    </xf>
    <xf numFmtId="168" fontId="21" fillId="0" borderId="49" xfId="1" applyNumberFormat="1" applyFont="1" applyBorder="1"/>
    <xf numFmtId="168" fontId="20" fillId="0" borderId="49" xfId="1" applyNumberFormat="1" applyFont="1" applyBorder="1"/>
    <xf numFmtId="168" fontId="20" fillId="0" borderId="23" xfId="1" applyNumberFormat="1" applyFont="1" applyBorder="1"/>
    <xf numFmtId="168" fontId="21" fillId="0" borderId="10" xfId="1" applyNumberFormat="1" applyFont="1" applyBorder="1"/>
    <xf numFmtId="168" fontId="21" fillId="0" borderId="11" xfId="1" applyNumberFormat="1" applyFont="1" applyBorder="1"/>
    <xf numFmtId="168" fontId="20" fillId="0" borderId="29" xfId="1" applyNumberFormat="1" applyFont="1" applyBorder="1"/>
    <xf numFmtId="0" fontId="3" fillId="11" borderId="35" xfId="18" quotePrefix="1" applyFont="1" applyFill="1" applyBorder="1" applyProtection="1">
      <protection locked="0"/>
    </xf>
    <xf numFmtId="0" fontId="3" fillId="11" borderId="28" xfId="18" quotePrefix="1" applyFont="1" applyFill="1" applyBorder="1" applyProtection="1">
      <protection locked="0"/>
    </xf>
    <xf numFmtId="0" fontId="3" fillId="0" borderId="37" xfId="18" applyFont="1" applyBorder="1" applyProtection="1">
      <protection locked="0"/>
    </xf>
    <xf numFmtId="3" fontId="3" fillId="10" borderId="23" xfId="18" quotePrefix="1" applyNumberFormat="1" applyFont="1" applyFill="1" applyBorder="1" applyProtection="1">
      <protection locked="0"/>
    </xf>
    <xf numFmtId="3" fontId="3" fillId="11" borderId="23" xfId="18" quotePrefix="1" applyNumberFormat="1" applyFont="1" applyFill="1" applyBorder="1" applyProtection="1">
      <protection locked="0"/>
    </xf>
    <xf numFmtId="3" fontId="3" fillId="0" borderId="23" xfId="18" quotePrefix="1" applyNumberFormat="1" applyFont="1" applyBorder="1" applyProtection="1">
      <protection locked="0"/>
    </xf>
    <xf numFmtId="0" fontId="3" fillId="11" borderId="23" xfId="18" quotePrefix="1" applyFont="1" applyFill="1" applyBorder="1" applyProtection="1">
      <protection locked="0"/>
    </xf>
    <xf numFmtId="167" fontId="3" fillId="0" borderId="23" xfId="20" quotePrefix="1" applyNumberFormat="1" applyFont="1" applyBorder="1" applyProtection="1">
      <protection locked="0"/>
    </xf>
    <xf numFmtId="43" fontId="6" fillId="0" borderId="23" xfId="6" applyNumberFormat="1" applyBorder="1" applyAlignment="1">
      <alignment horizontal="right" wrapText="1"/>
    </xf>
    <xf numFmtId="168" fontId="3" fillId="0" borderId="23" xfId="10" applyNumberFormat="1" applyBorder="1" applyAlignment="1">
      <alignment horizontal="right"/>
    </xf>
    <xf numFmtId="0" fontId="20" fillId="0" borderId="50" xfId="0" applyFont="1" applyBorder="1" applyAlignment="1">
      <alignment horizontal="center"/>
    </xf>
    <xf numFmtId="43" fontId="6" fillId="0" borderId="4" xfId="3" applyNumberFormat="1" applyBorder="1" applyAlignment="1">
      <alignment horizontal="right" wrapText="1"/>
    </xf>
    <xf numFmtId="43" fontId="6" fillId="0" borderId="4" xfId="1" applyFont="1" applyFill="1" applyBorder="1" applyAlignment="1">
      <alignment horizontal="right" wrapText="1"/>
    </xf>
    <xf numFmtId="3" fontId="6" fillId="0" borderId="1" xfId="4" applyNumberFormat="1" applyBorder="1" applyAlignment="1">
      <alignment horizontal="right" wrapText="1"/>
    </xf>
    <xf numFmtId="3" fontId="3" fillId="0" borderId="1" xfId="4" applyNumberFormat="1" applyFont="1" applyBorder="1" applyAlignment="1">
      <alignment horizontal="right" wrapText="1"/>
    </xf>
    <xf numFmtId="168" fontId="6" fillId="0" borderId="53" xfId="1" applyNumberFormat="1" applyFont="1" applyFill="1" applyBorder="1" applyAlignment="1">
      <alignment horizontal="right"/>
    </xf>
    <xf numFmtId="0" fontId="22" fillId="0" borderId="50" xfId="13" applyFont="1" applyBorder="1" applyAlignment="1">
      <alignment horizontal="center"/>
    </xf>
    <xf numFmtId="0" fontId="22" fillId="0" borderId="51" xfId="13" applyFont="1" applyBorder="1" applyAlignment="1">
      <alignment horizontal="center"/>
    </xf>
    <xf numFmtId="0" fontId="20" fillId="0" borderId="51" xfId="0" applyFont="1" applyBorder="1" applyAlignment="1">
      <alignment horizontal="center"/>
    </xf>
    <xf numFmtId="3" fontId="29" fillId="0" borderId="54" xfId="0" applyNumberFormat="1" applyFont="1" applyBorder="1"/>
    <xf numFmtId="167" fontId="29" fillId="0" borderId="54" xfId="0" applyNumberFormat="1" applyFont="1" applyBorder="1"/>
    <xf numFmtId="10" fontId="29" fillId="0" borderId="54" xfId="0" applyNumberFormat="1" applyFont="1" applyBorder="1"/>
    <xf numFmtId="3" fontId="29" fillId="14" borderId="54" xfId="0" applyNumberFormat="1" applyFont="1" applyFill="1" applyBorder="1"/>
    <xf numFmtId="38" fontId="7" fillId="0" borderId="2" xfId="0" applyNumberFormat="1" applyFont="1" applyBorder="1" applyAlignment="1">
      <alignment horizontal="center" wrapText="1"/>
    </xf>
    <xf numFmtId="167" fontId="7" fillId="0" borderId="0" xfId="0" applyNumberFormat="1" applyFont="1"/>
    <xf numFmtId="3" fontId="3" fillId="6" borderId="19" xfId="1" applyNumberFormat="1" applyFont="1" applyFill="1" applyBorder="1"/>
    <xf numFmtId="49" fontId="8" fillId="0" borderId="0" xfId="0" applyNumberFormat="1" applyFont="1" applyAlignment="1">
      <alignment horizontal="left" wrapText="1"/>
    </xf>
    <xf numFmtId="0" fontId="0" fillId="0" borderId="0" xfId="0" applyAlignment="1">
      <alignment wrapText="1"/>
    </xf>
    <xf numFmtId="0" fontId="25" fillId="0" borderId="0" xfId="18" applyFont="1" applyAlignment="1">
      <alignment horizontal="left"/>
    </xf>
    <xf numFmtId="0" fontId="7" fillId="0" borderId="0" xfId="18" applyFont="1" applyAlignment="1" applyProtection="1">
      <alignment horizontal="left"/>
      <protection locked="0"/>
    </xf>
    <xf numFmtId="0" fontId="7" fillId="0" borderId="16" xfId="0" applyFont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4" xfId="0" applyBorder="1"/>
    <xf numFmtId="0" fontId="20" fillId="0" borderId="0" xfId="22" applyFont="1" applyAlignment="1">
      <alignment horizontal="center"/>
    </xf>
    <xf numFmtId="0" fontId="20" fillId="0" borderId="50" xfId="0" applyFont="1" applyBorder="1" applyAlignment="1">
      <alignment horizontal="center"/>
    </xf>
    <xf numFmtId="0" fontId="0" fillId="0" borderId="51" xfId="0" applyBorder="1" applyAlignment="1">
      <alignment horizontal="center"/>
    </xf>
  </cellXfs>
  <cellStyles count="27">
    <cellStyle name="Comma" xfId="1" builtinId="3"/>
    <cellStyle name="Comma 2" xfId="16" xr:uid="{00000000-0005-0000-0000-000001000000}"/>
    <cellStyle name="Comma 3" xfId="21" xr:uid="{00000000-0005-0000-0000-000002000000}"/>
    <cellStyle name="Comma 4" xfId="23" xr:uid="{00000000-0005-0000-0000-000003000000}"/>
    <cellStyle name="Currency" xfId="2" builtinId="4"/>
    <cellStyle name="Currency 2" xfId="12" xr:uid="{00000000-0005-0000-0000-000005000000}"/>
    <cellStyle name="Currency 3" xfId="24" xr:uid="{00000000-0005-0000-0000-000006000000}"/>
    <cellStyle name="Normal" xfId="0" builtinId="0"/>
    <cellStyle name="Normal 2" xfId="10" xr:uid="{00000000-0005-0000-0000-000008000000}"/>
    <cellStyle name="Normal 3" xfId="11" xr:uid="{00000000-0005-0000-0000-000009000000}"/>
    <cellStyle name="Normal 4" xfId="18" xr:uid="{00000000-0005-0000-0000-00000A000000}"/>
    <cellStyle name="Normal 5" xfId="22" xr:uid="{00000000-0005-0000-0000-00000B000000}"/>
    <cellStyle name="Normal 6" xfId="26" xr:uid="{00000000-0005-0000-0000-00000C000000}"/>
    <cellStyle name="Normal_Academic Support Per FYE" xfId="3" xr:uid="{00000000-0005-0000-0000-00000D000000}"/>
    <cellStyle name="Normal_FY2006 Detail" xfId="4" xr:uid="{00000000-0005-0000-0000-00000F000000}"/>
    <cellStyle name="Normal_INSTRUCTION" xfId="5" xr:uid="{00000000-0005-0000-0000-000010000000}"/>
    <cellStyle name="Normal_Revenue Offset" xfId="6" xr:uid="{00000000-0005-0000-0000-000011000000}"/>
    <cellStyle name="Normal_Sheet1" xfId="7" xr:uid="{00000000-0005-0000-0000-000012000000}"/>
    <cellStyle name="Normal_Sheet1 2" xfId="13" xr:uid="{00000000-0005-0000-0000-000013000000}"/>
    <cellStyle name="Normal_Sheet1 3" xfId="19" xr:uid="{00000000-0005-0000-0000-000014000000}"/>
    <cellStyle name="Normal_Sheet2" xfId="8" xr:uid="{00000000-0005-0000-0000-000015000000}"/>
    <cellStyle name="Normal_Sheet2 2" xfId="17" xr:uid="{00000000-0005-0000-0000-000016000000}"/>
    <cellStyle name="Normal_Sheet3" xfId="14" xr:uid="{00000000-0005-0000-0000-000017000000}"/>
    <cellStyle name="Percent" xfId="9" builtinId="5"/>
    <cellStyle name="Percent 2" xfId="15" xr:uid="{00000000-0005-0000-0000-000019000000}"/>
    <cellStyle name="Percent 3" xfId="20" xr:uid="{00000000-0005-0000-0000-00001A000000}"/>
    <cellStyle name="Percent 4" xfId="25" xr:uid="{00000000-0005-0000-0000-00001B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bargain/000_Allocation%20Framework/TAC/FY2017%20meetings/Analysis/Transition/FY2017%20Institutional%20Allocations%20for%20analysis%20all%20recs%20except%20student%20success_0928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2015 Detail"/>
      <sheetName val="Alloc Dif (2)"/>
      <sheetName val="Alloc Dif"/>
      <sheetName val="FY15 Detail"/>
      <sheetName val="Instruction"/>
      <sheetName val="Academic Support Per FYE"/>
      <sheetName val="Student Success"/>
      <sheetName val="Student &amp; Institutional Sup (2"/>
      <sheetName val="Student &amp; Institutional Support"/>
      <sheetName val="Facilities"/>
      <sheetName val="Library"/>
      <sheetName val="Research"/>
      <sheetName val="Enrollment"/>
      <sheetName val="Enrollment Detail"/>
      <sheetName val="Revenue Offset"/>
      <sheetName val="Research (2)"/>
      <sheetName val="Revenue Offse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0">
          <cell r="G40">
            <v>0.58953142624222721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 tint="0.39997558519241921"/>
  </sheetPr>
  <dimension ref="A1:D40"/>
  <sheetViews>
    <sheetView zoomScale="80" workbookViewId="0">
      <pane xSplit="3" ySplit="5" topLeftCell="D18" activePane="bottomRight" state="frozen"/>
      <selection activeCell="F2" sqref="F2"/>
      <selection pane="topRight" activeCell="F2" sqref="F2"/>
      <selection pane="bottomLeft" activeCell="F2" sqref="F2"/>
      <selection pane="bottomRight" activeCell="B41" sqref="B41"/>
    </sheetView>
  </sheetViews>
  <sheetFormatPr defaultRowHeight="12.75" x14ac:dyDescent="0.2"/>
  <cols>
    <col min="1" max="1" width="4.7109375" hidden="1" customWidth="1"/>
    <col min="2" max="2" width="5" customWidth="1"/>
    <col min="3" max="3" width="30.7109375" customWidth="1"/>
    <col min="4" max="4" width="8" customWidth="1"/>
  </cols>
  <sheetData>
    <row r="1" spans="1:4" ht="15.75" x14ac:dyDescent="0.25">
      <c r="A1" s="19"/>
      <c r="B1" s="36"/>
      <c r="D1" s="33"/>
    </row>
    <row r="2" spans="1:4" ht="24.75" customHeight="1" x14ac:dyDescent="0.2">
      <c r="A2" s="19"/>
      <c r="B2" s="19"/>
      <c r="C2" s="19"/>
      <c r="D2" s="19"/>
    </row>
    <row r="3" spans="1:4" x14ac:dyDescent="0.2">
      <c r="A3" s="26"/>
      <c r="B3" s="4"/>
      <c r="C3" s="4"/>
      <c r="D3" s="136"/>
    </row>
    <row r="4" spans="1:4" ht="92.25" customHeight="1" x14ac:dyDescent="0.2">
      <c r="B4" s="1" t="s">
        <v>0</v>
      </c>
      <c r="C4" s="1" t="s">
        <v>1</v>
      </c>
      <c r="D4" s="137" t="s">
        <v>274</v>
      </c>
    </row>
    <row r="5" spans="1:4" x14ac:dyDescent="0.2">
      <c r="B5" s="2"/>
      <c r="C5" s="2"/>
      <c r="D5" s="138"/>
    </row>
    <row r="6" spans="1:4" x14ac:dyDescent="0.2">
      <c r="A6">
        <v>1</v>
      </c>
      <c r="B6" s="10" t="s">
        <v>2</v>
      </c>
      <c r="C6" s="3" t="s">
        <v>3</v>
      </c>
    </row>
    <row r="7" spans="1:4" x14ac:dyDescent="0.2">
      <c r="A7">
        <v>2</v>
      </c>
      <c r="B7" s="10" t="s">
        <v>4</v>
      </c>
      <c r="C7" s="3" t="s">
        <v>122</v>
      </c>
    </row>
    <row r="8" spans="1:4" ht="12" customHeight="1" x14ac:dyDescent="0.2">
      <c r="A8">
        <v>4</v>
      </c>
      <c r="B8" s="10" t="s">
        <v>5</v>
      </c>
      <c r="C8" s="3" t="s">
        <v>112</v>
      </c>
    </row>
    <row r="9" spans="1:4" x14ac:dyDescent="0.2">
      <c r="A9">
        <v>3</v>
      </c>
      <c r="B9" s="34" t="s">
        <v>6</v>
      </c>
      <c r="C9" s="3" t="s">
        <v>7</v>
      </c>
    </row>
    <row r="10" spans="1:4" x14ac:dyDescent="0.2">
      <c r="A10">
        <v>3</v>
      </c>
      <c r="B10" s="34" t="s">
        <v>8</v>
      </c>
      <c r="C10" s="3" t="s">
        <v>9</v>
      </c>
    </row>
    <row r="11" spans="1:4" x14ac:dyDescent="0.2">
      <c r="A11">
        <v>1</v>
      </c>
      <c r="B11" s="34" t="s">
        <v>10</v>
      </c>
      <c r="C11" s="3" t="s">
        <v>11</v>
      </c>
    </row>
    <row r="12" spans="1:4" x14ac:dyDescent="0.2">
      <c r="A12">
        <v>2</v>
      </c>
      <c r="B12" s="34" t="s">
        <v>12</v>
      </c>
      <c r="C12" s="3" t="s">
        <v>13</v>
      </c>
    </row>
    <row r="13" spans="1:4" x14ac:dyDescent="0.2">
      <c r="A13">
        <v>1</v>
      </c>
      <c r="B13" s="34" t="s">
        <v>14</v>
      </c>
      <c r="C13" s="3" t="s">
        <v>15</v>
      </c>
    </row>
    <row r="14" spans="1:4" x14ac:dyDescent="0.2">
      <c r="A14">
        <v>3</v>
      </c>
      <c r="B14" s="34" t="s">
        <v>16</v>
      </c>
      <c r="C14" s="3" t="s">
        <v>17</v>
      </c>
    </row>
    <row r="15" spans="1:4" x14ac:dyDescent="0.2">
      <c r="A15">
        <v>4</v>
      </c>
      <c r="B15" s="34" t="s">
        <v>18</v>
      </c>
      <c r="C15" s="3" t="s">
        <v>67</v>
      </c>
    </row>
    <row r="16" spans="1:4" x14ac:dyDescent="0.2">
      <c r="A16">
        <v>3</v>
      </c>
      <c r="B16" s="34" t="s">
        <v>19</v>
      </c>
      <c r="C16" s="3" t="s">
        <v>20</v>
      </c>
    </row>
    <row r="17" spans="1:3" ht="12" customHeight="1" x14ac:dyDescent="0.2">
      <c r="A17">
        <v>1</v>
      </c>
      <c r="B17" s="34" t="s">
        <v>21</v>
      </c>
      <c r="C17" s="3" t="s">
        <v>70</v>
      </c>
    </row>
    <row r="18" spans="1:3" ht="12" customHeight="1" x14ac:dyDescent="0.2">
      <c r="B18" s="34" t="s">
        <v>108</v>
      </c>
      <c r="C18" s="3" t="s">
        <v>111</v>
      </c>
    </row>
    <row r="19" spans="1:3" x14ac:dyDescent="0.2">
      <c r="A19">
        <v>4</v>
      </c>
      <c r="B19" s="34" t="s">
        <v>26</v>
      </c>
      <c r="C19" s="3" t="s">
        <v>62</v>
      </c>
    </row>
    <row r="20" spans="1:3" x14ac:dyDescent="0.2">
      <c r="A20">
        <v>4</v>
      </c>
      <c r="B20" s="34" t="s">
        <v>22</v>
      </c>
      <c r="C20" s="3" t="s">
        <v>23</v>
      </c>
    </row>
    <row r="21" spans="1:3" x14ac:dyDescent="0.2">
      <c r="A21">
        <v>3</v>
      </c>
      <c r="B21" s="34" t="s">
        <v>24</v>
      </c>
      <c r="C21" s="3" t="s">
        <v>25</v>
      </c>
    </row>
    <row r="22" spans="1:3" x14ac:dyDescent="0.2">
      <c r="A22">
        <v>2</v>
      </c>
      <c r="B22" s="34" t="s">
        <v>27</v>
      </c>
      <c r="C22" s="3" t="s">
        <v>28</v>
      </c>
    </row>
    <row r="23" spans="1:3" x14ac:dyDescent="0.2">
      <c r="A23">
        <v>2</v>
      </c>
      <c r="B23" s="34" t="s">
        <v>29</v>
      </c>
      <c r="C23" s="3" t="s">
        <v>30</v>
      </c>
    </row>
    <row r="24" spans="1:3" ht="12.75" customHeight="1" x14ac:dyDescent="0.2">
      <c r="A24">
        <v>3</v>
      </c>
      <c r="B24" s="34" t="s">
        <v>116</v>
      </c>
      <c r="C24" s="3" t="s">
        <v>63</v>
      </c>
    </row>
    <row r="25" spans="1:3" x14ac:dyDescent="0.2">
      <c r="A25">
        <v>3</v>
      </c>
      <c r="B25" s="34" t="s">
        <v>109</v>
      </c>
      <c r="C25" s="3" t="s">
        <v>32</v>
      </c>
    </row>
    <row r="26" spans="1:3" x14ac:dyDescent="0.2">
      <c r="A26">
        <v>1</v>
      </c>
      <c r="B26" s="34" t="s">
        <v>33</v>
      </c>
      <c r="C26" s="3" t="s">
        <v>34</v>
      </c>
    </row>
    <row r="27" spans="1:3" x14ac:dyDescent="0.2">
      <c r="A27">
        <v>3</v>
      </c>
      <c r="B27" s="34" t="s">
        <v>35</v>
      </c>
      <c r="C27" s="3" t="s">
        <v>36</v>
      </c>
    </row>
    <row r="28" spans="1:3" x14ac:dyDescent="0.2">
      <c r="A28">
        <v>3</v>
      </c>
      <c r="B28" s="34" t="s">
        <v>37</v>
      </c>
      <c r="C28" s="3" t="s">
        <v>38</v>
      </c>
    </row>
    <row r="29" spans="1:3" x14ac:dyDescent="0.2">
      <c r="A29">
        <v>3</v>
      </c>
      <c r="B29" s="34" t="s">
        <v>39</v>
      </c>
      <c r="C29" s="3" t="s">
        <v>40</v>
      </c>
    </row>
    <row r="30" spans="1:3" x14ac:dyDescent="0.2">
      <c r="A30">
        <v>1</v>
      </c>
      <c r="B30" s="34" t="s">
        <v>46</v>
      </c>
      <c r="C30" s="3" t="s">
        <v>69</v>
      </c>
    </row>
    <row r="31" spans="1:3" x14ac:dyDescent="0.2">
      <c r="A31">
        <v>4</v>
      </c>
      <c r="B31" s="34" t="s">
        <v>41</v>
      </c>
      <c r="C31" s="3" t="s">
        <v>115</v>
      </c>
    </row>
    <row r="32" spans="1:3" x14ac:dyDescent="0.2">
      <c r="A32">
        <v>4</v>
      </c>
      <c r="B32" s="34" t="s">
        <v>42</v>
      </c>
      <c r="C32" s="3" t="s">
        <v>68</v>
      </c>
    </row>
    <row r="33" spans="1:4" x14ac:dyDescent="0.2">
      <c r="A33">
        <v>1</v>
      </c>
      <c r="B33" s="34" t="s">
        <v>43</v>
      </c>
      <c r="C33" s="3" t="s">
        <v>44</v>
      </c>
    </row>
    <row r="34" spans="1:4" x14ac:dyDescent="0.2">
      <c r="A34">
        <v>1</v>
      </c>
      <c r="B34" s="34" t="s">
        <v>45</v>
      </c>
      <c r="C34" s="3" t="s">
        <v>120</v>
      </c>
    </row>
    <row r="35" spans="1:4" x14ac:dyDescent="0.2">
      <c r="A35">
        <v>4</v>
      </c>
      <c r="B35" s="34" t="s">
        <v>47</v>
      </c>
      <c r="C35" s="3" t="s">
        <v>48</v>
      </c>
    </row>
    <row r="37" spans="1:4" x14ac:dyDescent="0.2">
      <c r="B37" s="4"/>
      <c r="C37" s="4" t="s">
        <v>49</v>
      </c>
      <c r="D37" s="12">
        <f>SUM(D36:D36)</f>
        <v>0</v>
      </c>
    </row>
    <row r="38" spans="1:4" ht="14.25" customHeight="1" x14ac:dyDescent="0.2">
      <c r="B38" s="4"/>
      <c r="C38" s="4"/>
      <c r="D38" s="12"/>
    </row>
    <row r="39" spans="1:4" ht="16.5" customHeight="1" x14ac:dyDescent="0.2">
      <c r="B39" s="15" t="s">
        <v>50</v>
      </c>
    </row>
    <row r="40" spans="1:4" ht="12" customHeight="1" x14ac:dyDescent="0.2">
      <c r="B40" s="429" t="s">
        <v>306</v>
      </c>
      <c r="C40" s="430"/>
    </row>
  </sheetData>
  <mergeCells count="1">
    <mergeCell ref="B40:C40"/>
  </mergeCells>
  <phoneticPr fontId="11" type="noConversion"/>
  <pageMargins left="0.3" right="0.08" top="0.82" bottom="0.13" header="0.18" footer="0.13"/>
  <pageSetup scale="80" orientation="landscape" copies="4" r:id="rId1"/>
  <headerFooter alignWithMargins="0">
    <oddHeader xml:space="preserve">&amp;C&amp;"Arial,Bold"Minnesota State Colleges and Universities
FY2015
COLLEGE/UNIVERSITY ALLOCATIONS
(FRAMEWORK BASED ON FY2013 DATA) -  Draft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42"/>
  <sheetViews>
    <sheetView zoomScale="110" zoomScaleNormal="110" workbookViewId="0">
      <pane xSplit="1" ySplit="5" topLeftCell="B6" activePane="bottomRight" state="frozen"/>
      <selection activeCell="B30" sqref="B30"/>
      <selection pane="topRight" activeCell="B30" sqref="B30"/>
      <selection pane="bottomLeft" activeCell="B30" sqref="B30"/>
      <selection pane="bottomRight" activeCell="J14" sqref="J14"/>
    </sheetView>
  </sheetViews>
  <sheetFormatPr defaultColWidth="9.140625" defaultRowHeight="12.75" x14ac:dyDescent="0.2"/>
  <cols>
    <col min="1" max="1" width="40.28515625" style="325" customWidth="1"/>
    <col min="2" max="2" width="6.42578125" style="333" bestFit="1" customWidth="1"/>
    <col min="3" max="3" width="7.28515625" style="333" bestFit="1" customWidth="1"/>
    <col min="4" max="4" width="7.42578125" style="376" bestFit="1" customWidth="1"/>
    <col min="5" max="5" width="8.140625" style="376" bestFit="1" customWidth="1"/>
    <col min="6" max="6" width="8.140625" style="333" customWidth="1"/>
    <col min="7" max="7" width="6.5703125" style="376" customWidth="1"/>
    <col min="8" max="8" width="8.5703125" style="333" customWidth="1"/>
    <col min="9" max="9" width="8.140625" style="333" customWidth="1"/>
    <col min="10" max="10" width="11.140625" style="366" customWidth="1"/>
    <col min="11" max="11" width="4.28515625" style="325" customWidth="1"/>
    <col min="12" max="12" width="9.5703125" style="325" bestFit="1" customWidth="1"/>
    <col min="13" max="16384" width="9.140625" style="325"/>
  </cols>
  <sheetData>
    <row r="1" spans="1:14" ht="15" customHeight="1" x14ac:dyDescent="0.2">
      <c r="A1" s="440" t="s">
        <v>283</v>
      </c>
      <c r="B1" s="440"/>
      <c r="C1" s="440"/>
      <c r="D1" s="440"/>
      <c r="E1" s="440"/>
      <c r="F1" s="440"/>
      <c r="G1" s="440"/>
      <c r="H1" s="440"/>
      <c r="I1" s="440"/>
      <c r="J1" s="440"/>
    </row>
    <row r="2" spans="1:14" ht="15" customHeight="1" x14ac:dyDescent="0.2">
      <c r="A2" s="440" t="s">
        <v>71</v>
      </c>
      <c r="B2" s="440"/>
      <c r="C2" s="440"/>
      <c r="D2" s="440"/>
      <c r="E2" s="440"/>
      <c r="F2" s="440"/>
      <c r="G2" s="440"/>
      <c r="H2" s="440"/>
      <c r="I2" s="440"/>
      <c r="J2" s="440"/>
    </row>
    <row r="3" spans="1:14" ht="15" customHeight="1" x14ac:dyDescent="0.2">
      <c r="A3" s="440" t="s">
        <v>327</v>
      </c>
      <c r="B3" s="440"/>
      <c r="C3" s="440"/>
      <c r="D3" s="440"/>
      <c r="E3" s="440"/>
      <c r="F3" s="440"/>
      <c r="G3" s="440"/>
      <c r="H3" s="440"/>
      <c r="I3" s="440"/>
      <c r="J3" s="440"/>
    </row>
    <row r="4" spans="1:14" ht="15" customHeight="1" x14ac:dyDescent="0.2">
      <c r="J4" s="395" t="s">
        <v>270</v>
      </c>
    </row>
    <row r="5" spans="1:14" ht="63.75" x14ac:dyDescent="0.2">
      <c r="A5" s="327" t="s">
        <v>178</v>
      </c>
      <c r="B5" s="334" t="s">
        <v>179</v>
      </c>
      <c r="C5" s="334" t="s">
        <v>180</v>
      </c>
      <c r="D5" s="377" t="s">
        <v>181</v>
      </c>
      <c r="E5" s="377" t="s">
        <v>182</v>
      </c>
      <c r="F5" s="335" t="s">
        <v>260</v>
      </c>
      <c r="G5" s="377" t="s">
        <v>183</v>
      </c>
      <c r="H5" s="335" t="s">
        <v>184</v>
      </c>
      <c r="I5" s="328" t="s">
        <v>261</v>
      </c>
      <c r="J5" s="396" t="s">
        <v>287</v>
      </c>
      <c r="K5" s="329"/>
    </row>
    <row r="6" spans="1:14" ht="15" customHeight="1" x14ac:dyDescent="0.2">
      <c r="A6" s="330" t="s">
        <v>185</v>
      </c>
      <c r="B6" s="422">
        <v>809</v>
      </c>
      <c r="C6" s="422">
        <v>609</v>
      </c>
      <c r="D6" s="423">
        <v>0.75278121137206433</v>
      </c>
      <c r="E6" s="424">
        <v>0.71759781160632796</v>
      </c>
      <c r="F6" s="422">
        <v>580.53662958951929</v>
      </c>
      <c r="G6" s="423">
        <v>0.72423847855207013</v>
      </c>
      <c r="H6" s="422">
        <v>585.90892914862468</v>
      </c>
      <c r="I6" s="425">
        <f>IF(C6-H6&gt;0,(C6-H6),0)</f>
        <v>23.091070851375321</v>
      </c>
      <c r="J6" s="397">
        <f t="shared" ref="J6:J22" si="0">I6*$J$42</f>
        <v>230910.7085137532</v>
      </c>
      <c r="M6" s="326"/>
      <c r="N6" s="326"/>
    </row>
    <row r="7" spans="1:14" ht="15" customHeight="1" x14ac:dyDescent="0.2">
      <c r="A7" s="330" t="s">
        <v>186</v>
      </c>
      <c r="B7" s="422">
        <v>2056</v>
      </c>
      <c r="C7" s="422">
        <v>1358</v>
      </c>
      <c r="D7" s="423">
        <v>0.66050583657587547</v>
      </c>
      <c r="E7" s="424">
        <v>0.64572103190087038</v>
      </c>
      <c r="F7" s="422">
        <v>1327.6024415881895</v>
      </c>
      <c r="G7" s="423">
        <v>0.64967236177050769</v>
      </c>
      <c r="H7" s="422">
        <v>1335.7263758001639</v>
      </c>
      <c r="I7" s="425">
        <f t="shared" ref="I7:I31" si="1">IF(C7-H7&gt;0,(C7-H7),0)</f>
        <v>22.273624199836149</v>
      </c>
      <c r="J7" s="397">
        <f t="shared" si="0"/>
        <v>222736.24199836148</v>
      </c>
      <c r="M7" s="326"/>
      <c r="N7" s="326"/>
    </row>
    <row r="8" spans="1:14" ht="15" customHeight="1" x14ac:dyDescent="0.2">
      <c r="A8" s="330" t="s">
        <v>187</v>
      </c>
      <c r="B8" s="422">
        <v>862</v>
      </c>
      <c r="C8" s="422">
        <v>579</v>
      </c>
      <c r="D8" s="423">
        <v>0.67169373549883993</v>
      </c>
      <c r="E8" s="424">
        <v>0.64842710873288367</v>
      </c>
      <c r="F8" s="422">
        <v>558.94416772774571</v>
      </c>
      <c r="G8" s="423">
        <v>0.65297961893598611</v>
      </c>
      <c r="H8" s="422">
        <v>562.86843152282006</v>
      </c>
      <c r="I8" s="425">
        <f t="shared" si="1"/>
        <v>16.13156847717994</v>
      </c>
      <c r="J8" s="397">
        <f t="shared" si="0"/>
        <v>161315.6847717994</v>
      </c>
      <c r="M8" s="326"/>
      <c r="N8" s="326"/>
    </row>
    <row r="9" spans="1:14" ht="15" customHeight="1" x14ac:dyDescent="0.2">
      <c r="A9" s="330" t="s">
        <v>7</v>
      </c>
      <c r="B9" s="422">
        <v>836</v>
      </c>
      <c r="C9" s="422">
        <v>567</v>
      </c>
      <c r="D9" s="423">
        <v>0.67822966507177029</v>
      </c>
      <c r="E9" s="424">
        <v>0.67112905228749475</v>
      </c>
      <c r="F9" s="422">
        <v>561.0638877123456</v>
      </c>
      <c r="G9" s="423">
        <v>0.67551853718700439</v>
      </c>
      <c r="H9" s="422">
        <v>564.73349708833564</v>
      </c>
      <c r="I9" s="425">
        <f t="shared" si="1"/>
        <v>2.2665029116643609</v>
      </c>
      <c r="J9" s="397">
        <f t="shared" si="0"/>
        <v>22665.029116643607</v>
      </c>
      <c r="M9" s="326"/>
      <c r="N9" s="326"/>
    </row>
    <row r="10" spans="1:14" ht="15" customHeight="1" x14ac:dyDescent="0.2">
      <c r="A10" s="330" t="s">
        <v>9</v>
      </c>
      <c r="B10" s="422">
        <v>2780</v>
      </c>
      <c r="C10" s="422">
        <v>1794</v>
      </c>
      <c r="D10" s="423">
        <v>0.64532374100719425</v>
      </c>
      <c r="E10" s="424">
        <v>0.65304846178216291</v>
      </c>
      <c r="F10" s="422">
        <v>1815.4747237544129</v>
      </c>
      <c r="G10" s="423">
        <v>0.66026422725654277</v>
      </c>
      <c r="H10" s="422">
        <v>1835.5345517731889</v>
      </c>
      <c r="I10" s="425">
        <f t="shared" si="1"/>
        <v>0</v>
      </c>
      <c r="J10" s="397">
        <f t="shared" si="0"/>
        <v>0</v>
      </c>
      <c r="M10" s="326"/>
      <c r="N10" s="326"/>
    </row>
    <row r="11" spans="1:14" ht="15" customHeight="1" x14ac:dyDescent="0.2">
      <c r="A11" s="330" t="s">
        <v>188</v>
      </c>
      <c r="B11" s="422">
        <v>1178</v>
      </c>
      <c r="C11" s="422">
        <v>837</v>
      </c>
      <c r="D11" s="423">
        <v>0.71052631578947367</v>
      </c>
      <c r="E11" s="424">
        <v>0.68723804466467397</v>
      </c>
      <c r="F11" s="422">
        <v>809.566416614986</v>
      </c>
      <c r="G11" s="423">
        <v>0.69237113555969731</v>
      </c>
      <c r="H11" s="422">
        <v>815.61319768932344</v>
      </c>
      <c r="I11" s="425">
        <f t="shared" si="1"/>
        <v>21.386802310676558</v>
      </c>
      <c r="J11" s="397">
        <f t="shared" si="0"/>
        <v>213868.02310676558</v>
      </c>
      <c r="M11" s="326"/>
      <c r="N11" s="326"/>
    </row>
    <row r="12" spans="1:14" ht="15" customHeight="1" x14ac:dyDescent="0.2">
      <c r="A12" s="238" t="s">
        <v>212</v>
      </c>
      <c r="B12" s="422">
        <v>264</v>
      </c>
      <c r="C12" s="422">
        <v>155</v>
      </c>
      <c r="D12" s="423">
        <v>0.58712121212121215</v>
      </c>
      <c r="E12" s="424">
        <v>0.62299499658298907</v>
      </c>
      <c r="F12" s="422">
        <v>164.47067909790911</v>
      </c>
      <c r="G12" s="423">
        <v>0.62863286769525129</v>
      </c>
      <c r="H12" s="422">
        <v>165.95907707154635</v>
      </c>
      <c r="I12" s="425">
        <f t="shared" si="1"/>
        <v>0</v>
      </c>
      <c r="J12" s="397">
        <f t="shared" si="0"/>
        <v>0</v>
      </c>
      <c r="M12" s="326"/>
      <c r="N12" s="326"/>
    </row>
    <row r="13" spans="1:14" ht="15" customHeight="1" x14ac:dyDescent="0.2">
      <c r="A13" s="330" t="s">
        <v>137</v>
      </c>
      <c r="B13" s="422">
        <v>1495</v>
      </c>
      <c r="C13" s="422">
        <v>979</v>
      </c>
      <c r="D13" s="423">
        <v>0.65484949832775918</v>
      </c>
      <c r="E13" s="424">
        <v>0.64369887064032971</v>
      </c>
      <c r="F13" s="422">
        <v>962.32981160729287</v>
      </c>
      <c r="G13" s="423">
        <v>0.64847360618631888</v>
      </c>
      <c r="H13" s="422">
        <v>969.46804124854668</v>
      </c>
      <c r="I13" s="425">
        <f t="shared" si="1"/>
        <v>9.5319587514533168</v>
      </c>
      <c r="J13" s="397">
        <f t="shared" si="0"/>
        <v>95319.587514533167</v>
      </c>
      <c r="M13" s="326"/>
      <c r="N13" s="326"/>
    </row>
    <row r="14" spans="1:14" ht="15" customHeight="1" x14ac:dyDescent="0.2">
      <c r="A14" s="330" t="s">
        <v>189</v>
      </c>
      <c r="B14" s="422">
        <v>1083</v>
      </c>
      <c r="C14" s="422">
        <v>714</v>
      </c>
      <c r="D14" s="423">
        <v>0.65927977839335183</v>
      </c>
      <c r="E14" s="424">
        <v>0.63019358050479712</v>
      </c>
      <c r="F14" s="422">
        <v>682.49964768669531</v>
      </c>
      <c r="G14" s="423">
        <v>0.63469508560981669</v>
      </c>
      <c r="H14" s="422">
        <v>687.37477771543149</v>
      </c>
      <c r="I14" s="425">
        <f t="shared" si="1"/>
        <v>26.625222284568508</v>
      </c>
      <c r="J14" s="397">
        <f t="shared" si="0"/>
        <v>266252.22284568509</v>
      </c>
      <c r="M14" s="326"/>
      <c r="N14" s="326"/>
    </row>
    <row r="15" spans="1:14" ht="15" customHeight="1" x14ac:dyDescent="0.2">
      <c r="A15" s="330" t="s">
        <v>17</v>
      </c>
      <c r="B15" s="422">
        <v>1175</v>
      </c>
      <c r="C15" s="422">
        <v>777</v>
      </c>
      <c r="D15" s="423">
        <v>0.6612765957446809</v>
      </c>
      <c r="E15" s="424">
        <v>0.67132122896977098</v>
      </c>
      <c r="F15" s="422">
        <v>788.80244403948086</v>
      </c>
      <c r="G15" s="423">
        <v>0.6764798704763556</v>
      </c>
      <c r="H15" s="422">
        <v>794.86384780971787</v>
      </c>
      <c r="I15" s="425">
        <f t="shared" si="1"/>
        <v>0</v>
      </c>
      <c r="J15" s="397">
        <f t="shared" si="0"/>
        <v>0</v>
      </c>
      <c r="M15" s="326"/>
      <c r="N15" s="326"/>
    </row>
    <row r="16" spans="1:14" ht="15" customHeight="1" x14ac:dyDescent="0.2">
      <c r="A16" s="330" t="s">
        <v>190</v>
      </c>
      <c r="B16" s="422">
        <v>2318</v>
      </c>
      <c r="C16" s="422">
        <v>1350</v>
      </c>
      <c r="D16" s="423">
        <v>0.58239861949956861</v>
      </c>
      <c r="E16" s="424">
        <v>0.59064888769372581</v>
      </c>
      <c r="F16" s="422">
        <v>1369.1241216740564</v>
      </c>
      <c r="G16" s="423">
        <v>0.5956189612048175</v>
      </c>
      <c r="H16" s="422">
        <v>1380.644752072767</v>
      </c>
      <c r="I16" s="425">
        <f t="shared" si="1"/>
        <v>0</v>
      </c>
      <c r="J16" s="397">
        <f t="shared" si="0"/>
        <v>0</v>
      </c>
      <c r="M16" s="326"/>
      <c r="N16" s="326"/>
    </row>
    <row r="17" spans="1:14" ht="15" customHeight="1" x14ac:dyDescent="0.2">
      <c r="A17" s="331" t="s">
        <v>285</v>
      </c>
      <c r="B17" s="422">
        <v>1100</v>
      </c>
      <c r="C17" s="422">
        <v>762</v>
      </c>
      <c r="D17" s="423">
        <v>0.69272727272727275</v>
      </c>
      <c r="E17" s="424">
        <v>0.70276902144148268</v>
      </c>
      <c r="F17" s="422">
        <v>773.04592358563093</v>
      </c>
      <c r="G17" s="423">
        <v>0.70714106764242934</v>
      </c>
      <c r="H17" s="422">
        <v>777.85517440667229</v>
      </c>
      <c r="I17" s="425">
        <f t="shared" si="1"/>
        <v>0</v>
      </c>
      <c r="J17" s="398">
        <f t="shared" si="0"/>
        <v>0</v>
      </c>
      <c r="M17" s="326"/>
      <c r="N17" s="326"/>
    </row>
    <row r="18" spans="1:14" ht="15" customHeight="1" x14ac:dyDescent="0.2">
      <c r="A18" s="330" t="s">
        <v>213</v>
      </c>
      <c r="B18" s="422">
        <v>630</v>
      </c>
      <c r="C18" s="422">
        <v>424</v>
      </c>
      <c r="D18" s="423">
        <v>0.67301587301587307</v>
      </c>
      <c r="E18" s="424">
        <v>0.67130781249870863</v>
      </c>
      <c r="F18" s="422">
        <v>422.92392187418642</v>
      </c>
      <c r="G18" s="423">
        <v>0.67577069232556641</v>
      </c>
      <c r="H18" s="422">
        <v>425.73553616510685</v>
      </c>
      <c r="I18" s="425">
        <f t="shared" si="1"/>
        <v>0</v>
      </c>
      <c r="J18" s="397">
        <f t="shared" si="0"/>
        <v>0</v>
      </c>
      <c r="M18" s="326"/>
      <c r="N18" s="326"/>
    </row>
    <row r="19" spans="1:14" ht="15" customHeight="1" x14ac:dyDescent="0.2">
      <c r="A19" s="330" t="s">
        <v>192</v>
      </c>
      <c r="B19" s="422">
        <v>1339</v>
      </c>
      <c r="C19" s="422">
        <v>904</v>
      </c>
      <c r="D19" s="423">
        <v>0.67513069454817032</v>
      </c>
      <c r="E19" s="424">
        <v>0.66102563685415416</v>
      </c>
      <c r="F19" s="422">
        <v>885.11332774771245</v>
      </c>
      <c r="G19" s="423">
        <v>0.66496632896707319</v>
      </c>
      <c r="H19" s="422">
        <v>890.38991448691104</v>
      </c>
      <c r="I19" s="425">
        <f t="shared" si="1"/>
        <v>13.610085513088961</v>
      </c>
      <c r="J19" s="397">
        <f t="shared" si="0"/>
        <v>136100.85513088963</v>
      </c>
      <c r="M19" s="326"/>
      <c r="N19" s="326"/>
    </row>
    <row r="20" spans="1:14" ht="15" customHeight="1" x14ac:dyDescent="0.2">
      <c r="A20" s="330" t="s">
        <v>214</v>
      </c>
      <c r="B20" s="422">
        <v>626</v>
      </c>
      <c r="C20" s="422">
        <v>469</v>
      </c>
      <c r="D20" s="423">
        <v>0.74920127795527158</v>
      </c>
      <c r="E20" s="424">
        <v>0.70773540179604222</v>
      </c>
      <c r="F20" s="422">
        <v>443.04236152432242</v>
      </c>
      <c r="G20" s="423">
        <v>0.71377393863195304</v>
      </c>
      <c r="H20" s="422">
        <v>446.8224855836026</v>
      </c>
      <c r="I20" s="425">
        <f t="shared" si="1"/>
        <v>22.177514416397401</v>
      </c>
      <c r="J20" s="397">
        <f t="shared" si="0"/>
        <v>221775.14416397401</v>
      </c>
      <c r="M20" s="326"/>
      <c r="N20" s="326"/>
    </row>
    <row r="21" spans="1:14" ht="15" customHeight="1" x14ac:dyDescent="0.2">
      <c r="A21" s="330" t="s">
        <v>130</v>
      </c>
      <c r="B21" s="422">
        <v>2996</v>
      </c>
      <c r="C21" s="422">
        <v>1937</v>
      </c>
      <c r="D21" s="423">
        <v>0.64652870493991987</v>
      </c>
      <c r="E21" s="424">
        <v>0.61972394724070146</v>
      </c>
      <c r="F21" s="422">
        <v>1856.6929459331416</v>
      </c>
      <c r="G21" s="423">
        <v>0.62495747578646366</v>
      </c>
      <c r="H21" s="422">
        <v>1872.3725974562451</v>
      </c>
      <c r="I21" s="425">
        <f>IF(C21-H21&gt;0,(C21-H21),0)</f>
        <v>64.627402543754897</v>
      </c>
      <c r="J21" s="397">
        <f t="shared" si="0"/>
        <v>646274.02543754899</v>
      </c>
      <c r="M21" s="326"/>
      <c r="N21" s="326"/>
    </row>
    <row r="22" spans="1:14" ht="15" customHeight="1" x14ac:dyDescent="0.2">
      <c r="A22" s="330" t="s">
        <v>131</v>
      </c>
      <c r="B22" s="422">
        <v>1481</v>
      </c>
      <c r="C22" s="422">
        <v>967</v>
      </c>
      <c r="D22" s="423">
        <v>0.65293720459149218</v>
      </c>
      <c r="E22" s="424">
        <v>0.61458133938749693</v>
      </c>
      <c r="F22" s="422">
        <v>910.19496363288295</v>
      </c>
      <c r="G22" s="423">
        <v>0.62085762775366415</v>
      </c>
      <c r="H22" s="422">
        <v>919.49014670317661</v>
      </c>
      <c r="I22" s="425">
        <f t="shared" si="1"/>
        <v>47.509853296823394</v>
      </c>
      <c r="J22" s="397">
        <f t="shared" si="0"/>
        <v>475098.53296823392</v>
      </c>
      <c r="M22" s="326"/>
      <c r="N22" s="326"/>
    </row>
    <row r="23" spans="1:14" ht="15" customHeight="1" x14ac:dyDescent="0.2">
      <c r="A23" s="330" t="s">
        <v>193</v>
      </c>
      <c r="B23" s="422">
        <v>632</v>
      </c>
      <c r="C23" s="422">
        <v>444</v>
      </c>
      <c r="D23" s="423">
        <v>0.70253164556962022</v>
      </c>
      <c r="E23" s="424">
        <v>0.68313601644947541</v>
      </c>
      <c r="F23" s="422">
        <v>431.74196239606846</v>
      </c>
      <c r="G23" s="423">
        <v>0.68741306714982453</v>
      </c>
      <c r="H23" s="422">
        <v>434.4450584386891</v>
      </c>
      <c r="I23" s="425">
        <f t="shared" si="1"/>
        <v>9.5549415613108977</v>
      </c>
      <c r="J23" s="397">
        <f t="shared" ref="J23:J39" si="2">I23*$J$42</f>
        <v>95549.415613108984</v>
      </c>
      <c r="M23" s="326"/>
      <c r="N23" s="326"/>
    </row>
    <row r="24" spans="1:14" ht="15" customHeight="1" x14ac:dyDescent="0.2">
      <c r="A24" s="330" t="s">
        <v>194</v>
      </c>
      <c r="B24" s="422">
        <v>272</v>
      </c>
      <c r="C24" s="422">
        <v>172</v>
      </c>
      <c r="D24" s="423">
        <v>0.63235294117647056</v>
      </c>
      <c r="E24" s="424">
        <v>0.65322865563334709</v>
      </c>
      <c r="F24" s="422">
        <v>177.67819433227041</v>
      </c>
      <c r="G24" s="423">
        <v>0.65761028388544052</v>
      </c>
      <c r="H24" s="422">
        <v>178.86999721683981</v>
      </c>
      <c r="I24" s="425">
        <f t="shared" si="1"/>
        <v>0</v>
      </c>
      <c r="J24" s="397">
        <f t="shared" si="2"/>
        <v>0</v>
      </c>
      <c r="M24" s="326"/>
      <c r="N24" s="326"/>
    </row>
    <row r="25" spans="1:14" ht="15" customHeight="1" x14ac:dyDescent="0.2">
      <c r="A25" s="330" t="s">
        <v>195</v>
      </c>
      <c r="B25" s="422">
        <v>350</v>
      </c>
      <c r="C25" s="422">
        <v>218</v>
      </c>
      <c r="D25" s="423">
        <v>0.62285714285714289</v>
      </c>
      <c r="E25" s="424">
        <v>0.65300293351591077</v>
      </c>
      <c r="F25" s="422">
        <v>228.55102673056876</v>
      </c>
      <c r="G25" s="423">
        <v>0.6578064793114603</v>
      </c>
      <c r="H25" s="422">
        <v>230.23226775901111</v>
      </c>
      <c r="I25" s="425">
        <f t="shared" si="1"/>
        <v>0</v>
      </c>
      <c r="J25" s="397">
        <f t="shared" si="2"/>
        <v>0</v>
      </c>
      <c r="M25" s="326"/>
      <c r="N25" s="326"/>
    </row>
    <row r="26" spans="1:14" ht="15" customHeight="1" x14ac:dyDescent="0.2">
      <c r="A26" s="330" t="s">
        <v>36</v>
      </c>
      <c r="B26" s="422">
        <v>990</v>
      </c>
      <c r="C26" s="422">
        <v>707</v>
      </c>
      <c r="D26" s="423">
        <v>0.71414141414141419</v>
      </c>
      <c r="E26" s="424">
        <v>0.67304059856018228</v>
      </c>
      <c r="F26" s="422">
        <v>666.31019257458047</v>
      </c>
      <c r="G26" s="423">
        <v>0.67670075999004664</v>
      </c>
      <c r="H26" s="422">
        <v>669.9337523901462</v>
      </c>
      <c r="I26" s="425">
        <f t="shared" si="1"/>
        <v>37.066247609853804</v>
      </c>
      <c r="J26" s="397">
        <f t="shared" si="2"/>
        <v>370662.47609853803</v>
      </c>
      <c r="M26" s="326"/>
      <c r="N26" s="326"/>
    </row>
    <row r="27" spans="1:14" ht="15" customHeight="1" x14ac:dyDescent="0.2">
      <c r="A27" s="330" t="s">
        <v>129</v>
      </c>
      <c r="B27" s="422">
        <v>793</v>
      </c>
      <c r="C27" s="422">
        <v>534</v>
      </c>
      <c r="D27" s="423">
        <v>0.6733921815889029</v>
      </c>
      <c r="E27" s="424">
        <v>0.63984592562039944</v>
      </c>
      <c r="F27" s="422">
        <v>507.39781901697677</v>
      </c>
      <c r="G27" s="423">
        <v>0.64458293943792089</v>
      </c>
      <c r="H27" s="422">
        <v>511.15427097427124</v>
      </c>
      <c r="I27" s="425">
        <f t="shared" si="1"/>
        <v>22.845729025728758</v>
      </c>
      <c r="J27" s="397">
        <f t="shared" si="2"/>
        <v>228457.29025728759</v>
      </c>
      <c r="M27" s="326"/>
      <c r="N27" s="326"/>
    </row>
    <row r="28" spans="1:14" ht="15" customHeight="1" x14ac:dyDescent="0.2">
      <c r="A28" s="330" t="s">
        <v>196</v>
      </c>
      <c r="B28" s="422">
        <v>1417</v>
      </c>
      <c r="C28" s="422">
        <v>946</v>
      </c>
      <c r="D28" s="423">
        <v>0.66760762173606214</v>
      </c>
      <c r="E28" s="424">
        <v>0.64586935923863475</v>
      </c>
      <c r="F28" s="422">
        <v>915.1968820411455</v>
      </c>
      <c r="G28" s="423">
        <v>0.649278453329733</v>
      </c>
      <c r="H28" s="422">
        <v>920.02756836823164</v>
      </c>
      <c r="I28" s="425">
        <f t="shared" si="1"/>
        <v>25.972431631768359</v>
      </c>
      <c r="J28" s="397">
        <f t="shared" si="2"/>
        <v>259724.31631768358</v>
      </c>
      <c r="M28" s="326"/>
      <c r="N28" s="326"/>
    </row>
    <row r="29" spans="1:14" ht="15" customHeight="1" x14ac:dyDescent="0.2">
      <c r="A29" s="330" t="s">
        <v>197</v>
      </c>
      <c r="B29" s="422">
        <v>1398</v>
      </c>
      <c r="C29" s="422">
        <v>911</v>
      </c>
      <c r="D29" s="423">
        <v>0.65164520743919885</v>
      </c>
      <c r="E29" s="424">
        <v>0.64518894208336985</v>
      </c>
      <c r="F29" s="422">
        <v>901.97414103255107</v>
      </c>
      <c r="G29" s="423">
        <v>0.64913063206594335</v>
      </c>
      <c r="H29" s="422">
        <v>907.48462362818884</v>
      </c>
      <c r="I29" s="425">
        <f t="shared" si="1"/>
        <v>3.5153763718111577</v>
      </c>
      <c r="J29" s="397">
        <f t="shared" si="2"/>
        <v>35153.763718111579</v>
      </c>
      <c r="M29" s="326"/>
      <c r="N29" s="326"/>
    </row>
    <row r="30" spans="1:14" ht="15" customHeight="1" x14ac:dyDescent="0.2">
      <c r="A30" s="330" t="s">
        <v>69</v>
      </c>
      <c r="B30" s="422">
        <v>1945</v>
      </c>
      <c r="C30" s="422">
        <v>1218</v>
      </c>
      <c r="D30" s="423">
        <v>0.62622107969151675</v>
      </c>
      <c r="E30" s="424">
        <v>0.6138031240529942</v>
      </c>
      <c r="F30" s="422">
        <v>1193.8470762830736</v>
      </c>
      <c r="G30" s="423">
        <v>0.62058501510129016</v>
      </c>
      <c r="H30" s="422">
        <v>1207.0378543720094</v>
      </c>
      <c r="I30" s="425">
        <f t="shared" si="1"/>
        <v>10.962145627990594</v>
      </c>
      <c r="J30" s="397">
        <f t="shared" si="2"/>
        <v>109621.45627990595</v>
      </c>
      <c r="M30" s="326"/>
      <c r="N30" s="326"/>
    </row>
    <row r="31" spans="1:14" ht="15" customHeight="1" x14ac:dyDescent="0.2">
      <c r="A31" s="330" t="s">
        <v>115</v>
      </c>
      <c r="B31" s="422">
        <v>1014</v>
      </c>
      <c r="C31" s="422">
        <v>643</v>
      </c>
      <c r="D31" s="423">
        <v>0.63412228796844183</v>
      </c>
      <c r="E31" s="424">
        <v>0.64258965227542297</v>
      </c>
      <c r="F31" s="422">
        <v>651.58590740727891</v>
      </c>
      <c r="G31" s="423">
        <v>0.64665075954785989</v>
      </c>
      <c r="H31" s="422">
        <v>655.70387018152996</v>
      </c>
      <c r="I31" s="425">
        <f t="shared" si="1"/>
        <v>0</v>
      </c>
      <c r="J31" s="397">
        <f t="shared" si="2"/>
        <v>0</v>
      </c>
      <c r="M31" s="326"/>
      <c r="N31" s="326"/>
    </row>
    <row r="32" spans="1:14" ht="15" customHeight="1" x14ac:dyDescent="0.2">
      <c r="A32" s="331" t="s">
        <v>198</v>
      </c>
      <c r="B32" s="388">
        <f>SUM(B6:B31)</f>
        <v>31839</v>
      </c>
      <c r="C32" s="388">
        <f>SUM(C6:C31)</f>
        <v>20975</v>
      </c>
      <c r="D32" s="389">
        <f>C32/B32</f>
        <v>0.65878325324287823</v>
      </c>
      <c r="E32" s="389">
        <f>F32/B32</f>
        <v>0.64655647530403049</v>
      </c>
      <c r="F32" s="388">
        <f>SUM(F6:F31)</f>
        <v>20585.711617205026</v>
      </c>
      <c r="G32" s="389">
        <f>H32/B32</f>
        <v>0.65159868705270563</v>
      </c>
      <c r="H32" s="388">
        <f>SUM(H6:H31)</f>
        <v>20746.250597071095</v>
      </c>
      <c r="I32" s="388">
        <f>SUM(I6:I31)</f>
        <v>379.14847738528238</v>
      </c>
      <c r="J32" s="398">
        <f>SUM(J6:J31)-J17</f>
        <v>3791484.7738528233</v>
      </c>
      <c r="M32" s="326"/>
      <c r="N32" s="326"/>
    </row>
    <row r="33" spans="1:14" ht="15" customHeight="1" x14ac:dyDescent="0.2">
      <c r="A33" s="330" t="s">
        <v>199</v>
      </c>
      <c r="B33" s="422">
        <v>1114</v>
      </c>
      <c r="C33" s="422">
        <v>909</v>
      </c>
      <c r="D33" s="423">
        <v>0.8159784560143627</v>
      </c>
      <c r="E33" s="424">
        <v>0.81855243978195269</v>
      </c>
      <c r="F33" s="422">
        <v>911.86741791709528</v>
      </c>
      <c r="G33" s="423">
        <v>0.82382288287871452</v>
      </c>
      <c r="H33" s="422">
        <v>917.73869152688803</v>
      </c>
      <c r="I33" s="425">
        <f t="shared" ref="I33:I39" si="3">IF(C33-H33&gt;0,(C33-H33),0)</f>
        <v>0</v>
      </c>
      <c r="J33" s="397">
        <f t="shared" si="2"/>
        <v>0</v>
      </c>
      <c r="M33" s="326"/>
      <c r="N33" s="326"/>
    </row>
    <row r="34" spans="1:14" ht="15" customHeight="1" x14ac:dyDescent="0.2">
      <c r="A34" s="330" t="s">
        <v>138</v>
      </c>
      <c r="B34" s="422">
        <v>1952</v>
      </c>
      <c r="C34" s="422">
        <v>1541</v>
      </c>
      <c r="D34" s="423">
        <v>0.78944672131147542</v>
      </c>
      <c r="E34" s="424">
        <v>0.73989293843355997</v>
      </c>
      <c r="F34" s="422">
        <v>1444.271015822309</v>
      </c>
      <c r="G34" s="423">
        <v>0.74715803158964467</v>
      </c>
      <c r="H34" s="422">
        <v>1458.4524776629864</v>
      </c>
      <c r="I34" s="425">
        <f t="shared" si="3"/>
        <v>82.547522337013561</v>
      </c>
      <c r="J34" s="397">
        <f t="shared" si="2"/>
        <v>825475.22337013565</v>
      </c>
      <c r="M34" s="326"/>
      <c r="N34" s="326"/>
    </row>
    <row r="35" spans="1:14" ht="15" customHeight="1" x14ac:dyDescent="0.2">
      <c r="A35" s="330" t="s">
        <v>200</v>
      </c>
      <c r="B35" s="422">
        <v>3875</v>
      </c>
      <c r="C35" s="422">
        <v>3382</v>
      </c>
      <c r="D35" s="423">
        <v>0.87277419354838714</v>
      </c>
      <c r="E35" s="424">
        <v>0.85600473255223286</v>
      </c>
      <c r="F35" s="422">
        <v>3317.0183386399021</v>
      </c>
      <c r="G35" s="423">
        <v>0.86353281764858902</v>
      </c>
      <c r="H35" s="422">
        <v>3346.1896683882824</v>
      </c>
      <c r="I35" s="425">
        <f t="shared" si="3"/>
        <v>35.810331611717629</v>
      </c>
      <c r="J35" s="397">
        <f t="shared" si="2"/>
        <v>358103.31611717632</v>
      </c>
      <c r="M35" s="326"/>
      <c r="N35" s="326"/>
    </row>
    <row r="36" spans="1:14" ht="15" customHeight="1" x14ac:dyDescent="0.2">
      <c r="A36" s="330" t="s">
        <v>201</v>
      </c>
      <c r="B36" s="422">
        <v>1156</v>
      </c>
      <c r="C36" s="422">
        <v>958</v>
      </c>
      <c r="D36" s="423">
        <v>0.82871972318339104</v>
      </c>
      <c r="E36" s="424">
        <v>0.83398550534909544</v>
      </c>
      <c r="F36" s="422">
        <v>964.08724418355428</v>
      </c>
      <c r="G36" s="423">
        <v>0.84108414788311625</v>
      </c>
      <c r="H36" s="422">
        <v>972.29327495288237</v>
      </c>
      <c r="I36" s="425">
        <f t="shared" si="3"/>
        <v>0</v>
      </c>
      <c r="J36" s="397">
        <f t="shared" si="2"/>
        <v>0</v>
      </c>
      <c r="M36" s="326"/>
      <c r="N36" s="326"/>
    </row>
    <row r="37" spans="1:14" ht="15" customHeight="1" x14ac:dyDescent="0.2">
      <c r="A37" s="330" t="s">
        <v>202</v>
      </c>
      <c r="B37" s="422">
        <v>1692</v>
      </c>
      <c r="C37" s="422">
        <v>1337</v>
      </c>
      <c r="D37" s="423">
        <v>0.79018912529550822</v>
      </c>
      <c r="E37" s="424">
        <v>0.77057020362308148</v>
      </c>
      <c r="F37" s="422">
        <v>1303.804784530254</v>
      </c>
      <c r="G37" s="423">
        <v>0.778436157425766</v>
      </c>
      <c r="H37" s="422">
        <v>1317.113978364396</v>
      </c>
      <c r="I37" s="425">
        <f t="shared" si="3"/>
        <v>19.886021635604038</v>
      </c>
      <c r="J37" s="397">
        <f t="shared" si="2"/>
        <v>198860.21635604039</v>
      </c>
      <c r="M37" s="326"/>
      <c r="N37" s="326"/>
    </row>
    <row r="38" spans="1:14" ht="15" customHeight="1" x14ac:dyDescent="0.2">
      <c r="A38" s="330" t="s">
        <v>203</v>
      </c>
      <c r="B38" s="422">
        <v>823</v>
      </c>
      <c r="C38" s="422">
        <v>663</v>
      </c>
      <c r="D38" s="423">
        <v>0.80558930741190771</v>
      </c>
      <c r="E38" s="424">
        <v>0.80355405532183322</v>
      </c>
      <c r="F38" s="422">
        <v>661.32498752986874</v>
      </c>
      <c r="G38" s="423">
        <v>0.80942655064088698</v>
      </c>
      <c r="H38" s="422">
        <v>666.15805117745003</v>
      </c>
      <c r="I38" s="425">
        <f t="shared" si="3"/>
        <v>0</v>
      </c>
      <c r="J38" s="397">
        <f t="shared" si="2"/>
        <v>0</v>
      </c>
      <c r="M38" s="326"/>
      <c r="N38" s="326"/>
    </row>
    <row r="39" spans="1:14" ht="15" customHeight="1" x14ac:dyDescent="0.2">
      <c r="A39" s="330" t="s">
        <v>204</v>
      </c>
      <c r="B39" s="422">
        <v>1683</v>
      </c>
      <c r="C39" s="422">
        <v>1492</v>
      </c>
      <c r="D39" s="423">
        <v>0.88651218062982773</v>
      </c>
      <c r="E39" s="424">
        <v>0.89373545772366703</v>
      </c>
      <c r="F39" s="422">
        <v>1504.1567753489317</v>
      </c>
      <c r="G39" s="423">
        <v>0.90176981786668153</v>
      </c>
      <c r="H39" s="422">
        <v>1517.6786034696249</v>
      </c>
      <c r="I39" s="425">
        <f t="shared" si="3"/>
        <v>0</v>
      </c>
      <c r="J39" s="397">
        <f t="shared" si="2"/>
        <v>0</v>
      </c>
    </row>
    <row r="40" spans="1:14" ht="15" customHeight="1" x14ac:dyDescent="0.2">
      <c r="A40" s="331" t="s">
        <v>205</v>
      </c>
      <c r="B40" s="388">
        <f>SUM(B33:B39)</f>
        <v>12295</v>
      </c>
      <c r="C40" s="388">
        <f>SUM(C33:C39)</f>
        <v>10282</v>
      </c>
      <c r="D40" s="389">
        <f>C40/B40</f>
        <v>0.83627490849939001</v>
      </c>
      <c r="E40" s="389">
        <f>F40/B40</f>
        <v>0.822003299225044</v>
      </c>
      <c r="F40" s="388">
        <f>SUM(F33:F39)</f>
        <v>10106.530563971915</v>
      </c>
      <c r="G40" s="389">
        <f>H40/B40</f>
        <v>0.82924967430195295</v>
      </c>
      <c r="H40" s="388">
        <f>SUM(H33:H39)</f>
        <v>10195.624745542511</v>
      </c>
      <c r="I40" s="388">
        <f>SUM(I33:I39)</f>
        <v>138.24387558433523</v>
      </c>
      <c r="J40" s="398">
        <f>SUM(J33:J39)</f>
        <v>1382438.7558433525</v>
      </c>
    </row>
    <row r="41" spans="1:14" ht="15" customHeight="1" x14ac:dyDescent="0.2">
      <c r="A41" s="332" t="s">
        <v>206</v>
      </c>
      <c r="B41" s="388">
        <f>B32+B40</f>
        <v>44134</v>
      </c>
      <c r="C41" s="388">
        <f>C32+C40</f>
        <v>31257</v>
      </c>
      <c r="D41" s="389">
        <f>C41/B41</f>
        <v>0.70822948293832422</v>
      </c>
      <c r="E41" s="389">
        <f>F41/B41</f>
        <v>0.69543304892320978</v>
      </c>
      <c r="F41" s="388">
        <f>F32+F40</f>
        <v>30692.242181176942</v>
      </c>
      <c r="G41" s="389">
        <f>H41/B41</f>
        <v>0.7010893039972268</v>
      </c>
      <c r="H41" s="388">
        <f>H32+H40</f>
        <v>30941.875342613606</v>
      </c>
      <c r="I41" s="388">
        <f>I32+I40</f>
        <v>517.3923529696176</v>
      </c>
      <c r="J41" s="398">
        <f>J40+J32</f>
        <v>5173923.5296961758</v>
      </c>
    </row>
    <row r="42" spans="1:14" ht="15" customHeight="1" x14ac:dyDescent="0.2">
      <c r="A42" s="336" t="s">
        <v>262</v>
      </c>
      <c r="B42" s="337"/>
      <c r="C42" s="337"/>
      <c r="D42" s="378"/>
      <c r="E42" s="378"/>
      <c r="F42" s="337"/>
      <c r="G42" s="378"/>
      <c r="H42" s="337"/>
      <c r="I42" s="337"/>
      <c r="J42" s="399">
        <v>10000</v>
      </c>
    </row>
  </sheetData>
  <mergeCells count="3">
    <mergeCell ref="A1:J1"/>
    <mergeCell ref="A2:J2"/>
    <mergeCell ref="A3:J3"/>
  </mergeCells>
  <printOptions horizontalCentered="1"/>
  <pageMargins left="0.1" right="0.1" top="0.5" bottom="0.5" header="0" footer="0.3"/>
  <pageSetup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42"/>
  <sheetViews>
    <sheetView workbookViewId="0">
      <pane xSplit="1" ySplit="5" topLeftCell="B6" activePane="bottomRight" state="frozen"/>
      <selection activeCell="B30" sqref="B30"/>
      <selection pane="topRight" activeCell="B30" sqref="B30"/>
      <selection pane="bottomLeft" activeCell="B30" sqref="B30"/>
      <selection pane="bottomRight" activeCell="H8" sqref="H8"/>
    </sheetView>
  </sheetViews>
  <sheetFormatPr defaultColWidth="9.140625" defaultRowHeight="15" customHeight="1" x14ac:dyDescent="0.2"/>
  <cols>
    <col min="1" max="1" width="40.28515625" style="325" customWidth="1"/>
    <col min="2" max="4" width="5.7109375" style="325" bestFit="1" customWidth="1"/>
    <col min="5" max="5" width="9.5703125" style="325" bestFit="1" customWidth="1"/>
    <col min="6" max="6" width="11.42578125" style="325" bestFit="1" customWidth="1"/>
    <col min="7" max="7" width="12.28515625" style="325" bestFit="1" customWidth="1"/>
    <col min="8" max="8" width="11" style="366" customWidth="1"/>
    <col min="9" max="16384" width="9.140625" style="325"/>
  </cols>
  <sheetData>
    <row r="1" spans="1:8" ht="15" customHeight="1" x14ac:dyDescent="0.2">
      <c r="A1" s="440" t="s">
        <v>284</v>
      </c>
      <c r="B1" s="440"/>
      <c r="C1" s="440"/>
      <c r="D1" s="440"/>
      <c r="E1" s="440"/>
      <c r="F1" s="440"/>
      <c r="G1" s="440"/>
      <c r="H1" s="440"/>
    </row>
    <row r="2" spans="1:8" ht="15" customHeight="1" x14ac:dyDescent="0.2">
      <c r="A2" s="440" t="s">
        <v>71</v>
      </c>
      <c r="B2" s="440"/>
      <c r="C2" s="440"/>
      <c r="D2" s="440"/>
      <c r="E2" s="440"/>
      <c r="F2" s="440"/>
      <c r="G2" s="440"/>
      <c r="H2" s="440"/>
    </row>
    <row r="3" spans="1:8" ht="15" customHeight="1" x14ac:dyDescent="0.2">
      <c r="A3" s="440" t="s">
        <v>320</v>
      </c>
      <c r="B3" s="440"/>
      <c r="C3" s="440"/>
      <c r="D3" s="440"/>
      <c r="E3" s="440"/>
      <c r="F3" s="440"/>
      <c r="G3" s="440"/>
      <c r="H3" s="440"/>
    </row>
    <row r="4" spans="1:8" ht="15" customHeight="1" x14ac:dyDescent="0.2">
      <c r="A4" s="356"/>
      <c r="B4" s="441">
        <v>2021</v>
      </c>
      <c r="C4" s="441">
        <v>2022</v>
      </c>
      <c r="D4" s="441">
        <v>2023</v>
      </c>
      <c r="E4" s="419" t="s">
        <v>207</v>
      </c>
      <c r="F4" s="413">
        <v>2023</v>
      </c>
      <c r="G4" s="413" t="s">
        <v>208</v>
      </c>
      <c r="H4" s="395" t="s">
        <v>271</v>
      </c>
    </row>
    <row r="5" spans="1:8" ht="12.75" x14ac:dyDescent="0.2">
      <c r="A5" s="237" t="s">
        <v>209</v>
      </c>
      <c r="B5" s="442"/>
      <c r="C5" s="442"/>
      <c r="D5" s="442"/>
      <c r="E5" s="420" t="s">
        <v>319</v>
      </c>
      <c r="F5" s="421" t="s">
        <v>210</v>
      </c>
      <c r="G5" s="420" t="s">
        <v>211</v>
      </c>
      <c r="H5" s="396" t="s">
        <v>287</v>
      </c>
    </row>
    <row r="6" spans="1:8" ht="15" customHeight="1" x14ac:dyDescent="0.2">
      <c r="A6" s="338" t="s">
        <v>185</v>
      </c>
      <c r="B6" s="365">
        <v>0.57317073170731703</v>
      </c>
      <c r="C6" s="365">
        <v>0.66666666666666663</v>
      </c>
      <c r="D6" s="365">
        <v>0.66666666666666663</v>
      </c>
      <c r="E6" s="365">
        <v>9.3495934959349603E-2</v>
      </c>
      <c r="F6" s="366">
        <v>102</v>
      </c>
      <c r="G6" s="380">
        <v>9</v>
      </c>
      <c r="H6" s="400">
        <f t="shared" ref="H6:H17" si="0">G6*H$42</f>
        <v>36000</v>
      </c>
    </row>
    <row r="7" spans="1:8" ht="15" customHeight="1" x14ac:dyDescent="0.2">
      <c r="A7" s="238" t="s">
        <v>186</v>
      </c>
      <c r="B7" s="367">
        <v>0.61671924290220825</v>
      </c>
      <c r="C7" s="367">
        <v>0.60270270270270265</v>
      </c>
      <c r="D7" s="367">
        <v>0.62247474747474751</v>
      </c>
      <c r="E7" s="367">
        <v>5.7555045725392606E-3</v>
      </c>
      <c r="F7" s="366">
        <v>792</v>
      </c>
      <c r="G7" s="381">
        <v>1</v>
      </c>
      <c r="H7" s="401">
        <f t="shared" si="0"/>
        <v>4000</v>
      </c>
    </row>
    <row r="8" spans="1:8" ht="15" customHeight="1" x14ac:dyDescent="0.2">
      <c r="A8" s="238" t="s">
        <v>187</v>
      </c>
      <c r="B8" s="367">
        <v>0.63043478260869568</v>
      </c>
      <c r="C8" s="367">
        <v>0.70545454545454545</v>
      </c>
      <c r="D8" s="367">
        <v>0.61217948717948723</v>
      </c>
      <c r="E8" s="367">
        <v>-1.8255295429208451E-2</v>
      </c>
      <c r="F8" s="366">
        <v>312</v>
      </c>
      <c r="G8" s="381">
        <v>0</v>
      </c>
      <c r="H8" s="401">
        <f t="shared" si="0"/>
        <v>0</v>
      </c>
    </row>
    <row r="9" spans="1:8" ht="15" customHeight="1" x14ac:dyDescent="0.2">
      <c r="A9" s="238" t="s">
        <v>7</v>
      </c>
      <c r="B9" s="367">
        <v>0.62135922330097082</v>
      </c>
      <c r="C9" s="367">
        <v>0.55333333333333334</v>
      </c>
      <c r="D9" s="367">
        <v>0.61963190184049077</v>
      </c>
      <c r="E9" s="367">
        <v>-1.7273214604800469E-3</v>
      </c>
      <c r="F9" s="366">
        <v>163</v>
      </c>
      <c r="G9" s="381">
        <v>0</v>
      </c>
      <c r="H9" s="401">
        <f t="shared" si="0"/>
        <v>0</v>
      </c>
    </row>
    <row r="10" spans="1:8" ht="15" customHeight="1" x14ac:dyDescent="0.2">
      <c r="A10" s="238" t="s">
        <v>9</v>
      </c>
      <c r="B10" s="367">
        <v>0.58724058416602609</v>
      </c>
      <c r="C10" s="367">
        <v>0.5669348939283102</v>
      </c>
      <c r="D10" s="367">
        <v>0.61845730027548207</v>
      </c>
      <c r="E10" s="367">
        <v>3.1216716109455978E-2</v>
      </c>
      <c r="F10" s="366">
        <v>1452</v>
      </c>
      <c r="G10" s="381">
        <v>38</v>
      </c>
      <c r="H10" s="401">
        <f t="shared" si="0"/>
        <v>152000</v>
      </c>
    </row>
    <row r="11" spans="1:8" ht="15" customHeight="1" x14ac:dyDescent="0.2">
      <c r="A11" s="238" t="s">
        <v>188</v>
      </c>
      <c r="B11" s="367">
        <v>0.63466666666666671</v>
      </c>
      <c r="C11" s="367">
        <v>0.64210526315789473</v>
      </c>
      <c r="D11" s="367">
        <v>0.64160401002506262</v>
      </c>
      <c r="E11" s="367">
        <v>6.9373433583959088E-3</v>
      </c>
      <c r="F11" s="366">
        <v>399</v>
      </c>
      <c r="G11" s="381">
        <v>1</v>
      </c>
      <c r="H11" s="401">
        <f t="shared" si="0"/>
        <v>4000</v>
      </c>
    </row>
    <row r="12" spans="1:8" ht="15" customHeight="1" x14ac:dyDescent="0.2">
      <c r="A12" s="238" t="s">
        <v>212</v>
      </c>
      <c r="B12" s="367">
        <v>0.5</v>
      </c>
      <c r="C12" s="367">
        <v>0.6179775280898876</v>
      </c>
      <c r="D12" s="367">
        <v>0.56000000000000005</v>
      </c>
      <c r="E12" s="367">
        <v>6.0000000000000053E-2</v>
      </c>
      <c r="F12" s="366">
        <v>125</v>
      </c>
      <c r="G12" s="381">
        <v>7</v>
      </c>
      <c r="H12" s="401">
        <f t="shared" si="0"/>
        <v>28000</v>
      </c>
    </row>
    <row r="13" spans="1:8" ht="15" customHeight="1" x14ac:dyDescent="0.2">
      <c r="A13" s="238" t="s">
        <v>137</v>
      </c>
      <c r="B13" s="367">
        <v>0.63456090651558072</v>
      </c>
      <c r="C13" s="367">
        <v>0.5917553191489362</v>
      </c>
      <c r="D13" s="367">
        <v>0.59215686274509804</v>
      </c>
      <c r="E13" s="367">
        <v>-4.240404377048268E-2</v>
      </c>
      <c r="F13" s="366">
        <v>765</v>
      </c>
      <c r="G13" s="381">
        <v>0</v>
      </c>
      <c r="H13" s="401">
        <f t="shared" si="0"/>
        <v>0</v>
      </c>
    </row>
    <row r="14" spans="1:8" ht="15" customHeight="1" x14ac:dyDescent="0.2">
      <c r="A14" s="238" t="s">
        <v>189</v>
      </c>
      <c r="B14" s="367">
        <v>0.64065335753176045</v>
      </c>
      <c r="C14" s="367">
        <v>0.60960334029227559</v>
      </c>
      <c r="D14" s="367">
        <v>0.64739884393063585</v>
      </c>
      <c r="E14" s="367">
        <v>6.7454863988753999E-3</v>
      </c>
      <c r="F14" s="366">
        <v>519</v>
      </c>
      <c r="G14" s="381">
        <v>1</v>
      </c>
      <c r="H14" s="401">
        <f t="shared" si="0"/>
        <v>4000</v>
      </c>
    </row>
    <row r="15" spans="1:8" ht="15" customHeight="1" x14ac:dyDescent="0.2">
      <c r="A15" s="238" t="s">
        <v>17</v>
      </c>
      <c r="B15" s="367">
        <v>0.5431034482758621</v>
      </c>
      <c r="C15" s="367">
        <v>0.59390862944162437</v>
      </c>
      <c r="D15" s="367">
        <v>0.63978494623655913</v>
      </c>
      <c r="E15" s="367">
        <v>9.6681497960697027E-2</v>
      </c>
      <c r="F15" s="366">
        <v>186</v>
      </c>
      <c r="G15" s="381">
        <v>17</v>
      </c>
      <c r="H15" s="401">
        <f t="shared" si="0"/>
        <v>68000</v>
      </c>
    </row>
    <row r="16" spans="1:8" ht="15" customHeight="1" x14ac:dyDescent="0.2">
      <c r="A16" s="238" t="s">
        <v>190</v>
      </c>
      <c r="B16" s="367">
        <v>0.57660377358490567</v>
      </c>
      <c r="C16" s="367">
        <v>0.56813104988830976</v>
      </c>
      <c r="D16" s="367">
        <v>0.56323427781617141</v>
      </c>
      <c r="E16" s="367">
        <v>-1.3369495768734252E-2</v>
      </c>
      <c r="F16" s="366">
        <v>1447</v>
      </c>
      <c r="G16" s="381">
        <v>0</v>
      </c>
      <c r="H16" s="401">
        <f t="shared" si="0"/>
        <v>0</v>
      </c>
    </row>
    <row r="17" spans="1:8" ht="15" customHeight="1" x14ac:dyDescent="0.2">
      <c r="A17" s="339" t="s">
        <v>293</v>
      </c>
      <c r="B17" s="368">
        <v>0.62429378531073443</v>
      </c>
      <c r="C17" s="368">
        <v>0.61256544502617805</v>
      </c>
      <c r="D17" s="368">
        <v>0.62662337662337664</v>
      </c>
      <c r="E17" s="368">
        <v>2.3295913126422096E-3</v>
      </c>
      <c r="F17" s="369">
        <v>308</v>
      </c>
      <c r="G17" s="382">
        <v>0</v>
      </c>
      <c r="H17" s="401">
        <f t="shared" si="0"/>
        <v>0</v>
      </c>
    </row>
    <row r="18" spans="1:8" ht="15" customHeight="1" x14ac:dyDescent="0.2">
      <c r="A18" s="238" t="s">
        <v>213</v>
      </c>
      <c r="B18" s="367">
        <v>0.59259259259259256</v>
      </c>
      <c r="C18" s="367">
        <v>0.59139784946236562</v>
      </c>
      <c r="D18" s="367">
        <v>0.60833333333333328</v>
      </c>
      <c r="E18" s="367">
        <v>1.5740740740740722E-2</v>
      </c>
      <c r="F18" s="366">
        <v>120</v>
      </c>
      <c r="G18" s="381">
        <v>1</v>
      </c>
      <c r="H18" s="401">
        <f t="shared" ref="H18:H22" si="1">G18*H$42</f>
        <v>4000</v>
      </c>
    </row>
    <row r="19" spans="1:8" ht="15" customHeight="1" x14ac:dyDescent="0.2">
      <c r="A19" s="238" t="s">
        <v>192</v>
      </c>
      <c r="B19" s="367">
        <v>0.61862527716186255</v>
      </c>
      <c r="C19" s="367">
        <v>0.58247422680412375</v>
      </c>
      <c r="D19" s="367">
        <v>0.57906976744186045</v>
      </c>
      <c r="E19" s="367">
        <v>-3.9555509720002102E-2</v>
      </c>
      <c r="F19" s="366">
        <v>430</v>
      </c>
      <c r="G19" s="381">
        <v>0</v>
      </c>
      <c r="H19" s="401">
        <f t="shared" si="1"/>
        <v>0</v>
      </c>
    </row>
    <row r="20" spans="1:8" ht="15" customHeight="1" x14ac:dyDescent="0.2">
      <c r="A20" s="340" t="s">
        <v>214</v>
      </c>
      <c r="B20" s="367">
        <v>0.63043478260869568</v>
      </c>
      <c r="C20" s="367">
        <v>0.60964912280701755</v>
      </c>
      <c r="D20" s="367">
        <v>0.70464135021097052</v>
      </c>
      <c r="E20" s="367">
        <v>7.4206567602274842E-2</v>
      </c>
      <c r="F20" s="366">
        <v>237</v>
      </c>
      <c r="G20" s="381">
        <v>16</v>
      </c>
      <c r="H20" s="401">
        <f t="shared" si="1"/>
        <v>64000</v>
      </c>
    </row>
    <row r="21" spans="1:8" ht="15" customHeight="1" x14ac:dyDescent="0.2">
      <c r="A21" s="238" t="s">
        <v>130</v>
      </c>
      <c r="B21" s="367">
        <v>0.60204734484964806</v>
      </c>
      <c r="C21" s="367">
        <v>0.62100456621004563</v>
      </c>
      <c r="D21" s="367">
        <v>0.6490825688073395</v>
      </c>
      <c r="E21" s="367">
        <v>4.7035223957691441E-2</v>
      </c>
      <c r="F21" s="366">
        <v>1744</v>
      </c>
      <c r="G21" s="381">
        <v>73</v>
      </c>
      <c r="H21" s="401">
        <f t="shared" si="1"/>
        <v>292000</v>
      </c>
    </row>
    <row r="22" spans="1:8" ht="15" customHeight="1" x14ac:dyDescent="0.2">
      <c r="A22" s="238" t="s">
        <v>131</v>
      </c>
      <c r="B22" s="367">
        <v>0.6244897959183674</v>
      </c>
      <c r="C22" s="367">
        <v>0.62950450450450446</v>
      </c>
      <c r="D22" s="367">
        <v>0.63078579117330458</v>
      </c>
      <c r="E22" s="367">
        <v>6.2959952549371812E-3</v>
      </c>
      <c r="F22" s="366">
        <v>929</v>
      </c>
      <c r="G22" s="381">
        <v>1</v>
      </c>
      <c r="H22" s="401">
        <f t="shared" si="1"/>
        <v>4000</v>
      </c>
    </row>
    <row r="23" spans="1:8" ht="15" customHeight="1" x14ac:dyDescent="0.2">
      <c r="A23" s="238" t="s">
        <v>220</v>
      </c>
      <c r="B23" s="367">
        <v>0.55294117647058827</v>
      </c>
      <c r="C23" s="367">
        <v>0.58333333333333337</v>
      </c>
      <c r="D23" s="367">
        <v>0.66265060240963858</v>
      </c>
      <c r="E23" s="367">
        <v>0.10970942593905031</v>
      </c>
      <c r="F23" s="366">
        <v>166</v>
      </c>
      <c r="G23" s="381">
        <v>17</v>
      </c>
      <c r="H23" s="401">
        <f t="shared" ref="H23:H31" si="2">G23*H$42</f>
        <v>68000</v>
      </c>
    </row>
    <row r="24" spans="1:8" ht="15" customHeight="1" x14ac:dyDescent="0.2">
      <c r="A24" s="238" t="s">
        <v>194</v>
      </c>
      <c r="B24" s="367">
        <v>0.4107142857142857</v>
      </c>
      <c r="C24" s="367">
        <v>0.5714285714285714</v>
      </c>
      <c r="D24" s="367">
        <v>0.59154929577464788</v>
      </c>
      <c r="E24" s="367">
        <v>0.18083501006036218</v>
      </c>
      <c r="F24" s="366">
        <v>71</v>
      </c>
      <c r="G24" s="381">
        <v>12</v>
      </c>
      <c r="H24" s="401">
        <f t="shared" si="2"/>
        <v>48000</v>
      </c>
    </row>
    <row r="25" spans="1:8" ht="15" customHeight="1" x14ac:dyDescent="0.2">
      <c r="A25" s="238" t="s">
        <v>195</v>
      </c>
      <c r="B25" s="367">
        <v>0.55072463768115942</v>
      </c>
      <c r="C25" s="367">
        <v>0.46478873239436619</v>
      </c>
      <c r="D25" s="367">
        <v>0.67924528301886788</v>
      </c>
      <c r="E25" s="367">
        <v>0.12852064533770846</v>
      </c>
      <c r="F25" s="366">
        <v>53</v>
      </c>
      <c r="G25" s="381">
        <v>7</v>
      </c>
      <c r="H25" s="401">
        <f t="shared" si="2"/>
        <v>28000</v>
      </c>
    </row>
    <row r="26" spans="1:8" ht="15" customHeight="1" x14ac:dyDescent="0.2">
      <c r="A26" s="238" t="s">
        <v>36</v>
      </c>
      <c r="B26" s="367">
        <v>0.62173913043478257</v>
      </c>
      <c r="C26" s="367">
        <v>0.62934362934362931</v>
      </c>
      <c r="D26" s="367">
        <v>0.65841584158415845</v>
      </c>
      <c r="E26" s="367">
        <v>3.6676711149375874E-2</v>
      </c>
      <c r="F26" s="366">
        <v>202</v>
      </c>
      <c r="G26" s="381">
        <v>6</v>
      </c>
      <c r="H26" s="401">
        <f t="shared" si="2"/>
        <v>24000</v>
      </c>
    </row>
    <row r="27" spans="1:8" ht="15" customHeight="1" x14ac:dyDescent="0.2">
      <c r="A27" s="238" t="s">
        <v>129</v>
      </c>
      <c r="B27" s="367">
        <v>0.58630952380952384</v>
      </c>
      <c r="C27" s="367">
        <v>0.64827586206896548</v>
      </c>
      <c r="D27" s="367">
        <v>0.63725490196078427</v>
      </c>
      <c r="E27" s="367">
        <v>5.0945378151260434E-2</v>
      </c>
      <c r="F27" s="366">
        <v>306</v>
      </c>
      <c r="G27" s="381">
        <v>14</v>
      </c>
      <c r="H27" s="401">
        <f t="shared" si="2"/>
        <v>56000</v>
      </c>
    </row>
    <row r="28" spans="1:8" ht="15" customHeight="1" x14ac:dyDescent="0.2">
      <c r="A28" s="238" t="s">
        <v>196</v>
      </c>
      <c r="B28" s="367">
        <v>0.59033989266547404</v>
      </c>
      <c r="C28" s="367">
        <v>0.57172131147540983</v>
      </c>
      <c r="D28" s="367">
        <v>0.63962264150943393</v>
      </c>
      <c r="E28" s="367">
        <v>4.9282748843959889E-2</v>
      </c>
      <c r="F28" s="366">
        <v>530</v>
      </c>
      <c r="G28" s="381">
        <v>23</v>
      </c>
      <c r="H28" s="401">
        <f t="shared" si="2"/>
        <v>92000</v>
      </c>
    </row>
    <row r="29" spans="1:8" ht="15" customHeight="1" x14ac:dyDescent="0.2">
      <c r="A29" s="238" t="s">
        <v>197</v>
      </c>
      <c r="B29" s="367">
        <v>0.5732323232323232</v>
      </c>
      <c r="C29" s="367">
        <v>0.54524886877828049</v>
      </c>
      <c r="D29" s="367">
        <v>0.61589403973509937</v>
      </c>
      <c r="E29" s="367">
        <v>4.266171650277617E-2</v>
      </c>
      <c r="F29" s="366">
        <v>453</v>
      </c>
      <c r="G29" s="381">
        <v>17</v>
      </c>
      <c r="H29" s="401">
        <f t="shared" si="2"/>
        <v>68000</v>
      </c>
    </row>
    <row r="30" spans="1:8" ht="15" customHeight="1" x14ac:dyDescent="0.2">
      <c r="A30" s="238" t="s">
        <v>69</v>
      </c>
      <c r="B30" s="367">
        <v>0.57779456193353473</v>
      </c>
      <c r="C30" s="367">
        <v>0.58893871449925261</v>
      </c>
      <c r="D30" s="367">
        <v>0.58494783904619974</v>
      </c>
      <c r="E30" s="367">
        <v>7.1532771126650019E-3</v>
      </c>
      <c r="F30" s="366">
        <v>1342</v>
      </c>
      <c r="G30" s="381">
        <v>3</v>
      </c>
      <c r="H30" s="401">
        <f t="shared" si="2"/>
        <v>12000</v>
      </c>
    </row>
    <row r="31" spans="1:8" ht="15" customHeight="1" x14ac:dyDescent="0.2">
      <c r="A31" s="238" t="s">
        <v>115</v>
      </c>
      <c r="B31" s="367">
        <v>0.56013745704467355</v>
      </c>
      <c r="C31" s="367">
        <v>0.56957928802588997</v>
      </c>
      <c r="D31" s="367">
        <v>0.5706371191135734</v>
      </c>
      <c r="E31" s="367">
        <v>1.0499662068899851E-2</v>
      </c>
      <c r="F31" s="366">
        <v>361</v>
      </c>
      <c r="G31" s="381">
        <v>2</v>
      </c>
      <c r="H31" s="401">
        <f t="shared" si="2"/>
        <v>8000</v>
      </c>
    </row>
    <row r="32" spans="1:8" ht="15" customHeight="1" x14ac:dyDescent="0.2">
      <c r="A32" s="239" t="s">
        <v>198</v>
      </c>
      <c r="B32" s="368">
        <v>0.59860698074816088</v>
      </c>
      <c r="C32" s="368">
        <v>0.59680200658410409</v>
      </c>
      <c r="D32" s="368">
        <v>0.61602782299837211</v>
      </c>
      <c r="E32" s="368">
        <v>1.7420842250211233E-2</v>
      </c>
      <c r="F32" s="370">
        <v>13514</v>
      </c>
      <c r="G32" s="382">
        <v>266</v>
      </c>
      <c r="H32" s="370">
        <f>SUM(H6:H17,H18:H31)</f>
        <v>1064000</v>
      </c>
    </row>
    <row r="33" spans="1:8" ht="15" customHeight="1" x14ac:dyDescent="0.2">
      <c r="A33" s="238" t="s">
        <v>199</v>
      </c>
      <c r="B33" s="367">
        <v>0.72972972972972971</v>
      </c>
      <c r="C33" s="367">
        <v>0.70995670995671001</v>
      </c>
      <c r="D33" s="367">
        <v>0.72961373390557938</v>
      </c>
      <c r="E33" s="367">
        <v>-1.1599582415033893E-4</v>
      </c>
      <c r="F33" s="366">
        <v>233</v>
      </c>
      <c r="G33" s="381">
        <v>0</v>
      </c>
      <c r="H33" s="401">
        <f t="shared" ref="H33:H40" si="3">G33*H$42</f>
        <v>0</v>
      </c>
    </row>
    <row r="34" spans="1:8" ht="15" customHeight="1" x14ac:dyDescent="0.2">
      <c r="A34" s="238" t="s">
        <v>138</v>
      </c>
      <c r="B34" s="367">
        <v>0.76700547302580135</v>
      </c>
      <c r="C34" s="367">
        <v>0.75731497418244409</v>
      </c>
      <c r="D34" s="367">
        <v>0.78227194492254737</v>
      </c>
      <c r="E34" s="367">
        <v>1.5266471896746014E-2</v>
      </c>
      <c r="F34" s="366">
        <v>1162</v>
      </c>
      <c r="G34" s="381">
        <v>12</v>
      </c>
      <c r="H34" s="401">
        <f t="shared" si="3"/>
        <v>48000</v>
      </c>
    </row>
    <row r="35" spans="1:8" ht="15" customHeight="1" x14ac:dyDescent="0.2">
      <c r="A35" s="238" t="s">
        <v>200</v>
      </c>
      <c r="B35" s="367">
        <v>0.78915662650602414</v>
      </c>
      <c r="C35" s="367">
        <v>0.81744966442953015</v>
      </c>
      <c r="D35" s="367">
        <v>0.82471626733921821</v>
      </c>
      <c r="E35" s="367">
        <v>3.5559640833194073E-2</v>
      </c>
      <c r="F35" s="366">
        <v>793</v>
      </c>
      <c r="G35" s="381">
        <v>24</v>
      </c>
      <c r="H35" s="401">
        <f t="shared" si="3"/>
        <v>96000</v>
      </c>
    </row>
    <row r="36" spans="1:8" ht="15" customHeight="1" x14ac:dyDescent="0.2">
      <c r="A36" s="238" t="s">
        <v>201</v>
      </c>
      <c r="B36" s="367">
        <v>0.76744186046511631</v>
      </c>
      <c r="C36" s="367">
        <v>0.74193548387096775</v>
      </c>
      <c r="D36" s="367">
        <v>0.80975609756097566</v>
      </c>
      <c r="E36" s="367">
        <v>4.2314237095859353E-2</v>
      </c>
      <c r="F36" s="366">
        <v>205</v>
      </c>
      <c r="G36" s="381">
        <v>8</v>
      </c>
      <c r="H36" s="401">
        <f t="shared" si="3"/>
        <v>32000</v>
      </c>
    </row>
    <row r="37" spans="1:8" ht="15" customHeight="1" x14ac:dyDescent="0.2">
      <c r="A37" s="238" t="s">
        <v>202</v>
      </c>
      <c r="B37" s="367">
        <v>0.69798657718120805</v>
      </c>
      <c r="C37" s="367">
        <v>0.71548117154811719</v>
      </c>
      <c r="D37" s="367">
        <v>0.71677559912854028</v>
      </c>
      <c r="E37" s="367">
        <v>1.878902194733223E-2</v>
      </c>
      <c r="F37" s="366">
        <v>459</v>
      </c>
      <c r="G37" s="381">
        <v>6</v>
      </c>
      <c r="H37" s="401">
        <f t="shared" si="3"/>
        <v>24000</v>
      </c>
    </row>
    <row r="38" spans="1:8" ht="15" customHeight="1" x14ac:dyDescent="0.2">
      <c r="A38" s="238" t="s">
        <v>203</v>
      </c>
      <c r="B38" s="367">
        <v>0.7008928571428571</v>
      </c>
      <c r="C38" s="367">
        <v>0.76303317535545023</v>
      </c>
      <c r="D38" s="367">
        <v>0.74874371859296485</v>
      </c>
      <c r="E38" s="367">
        <v>4.7850861450107751E-2</v>
      </c>
      <c r="F38" s="366">
        <v>199</v>
      </c>
      <c r="G38" s="381">
        <v>9</v>
      </c>
      <c r="H38" s="401">
        <f t="shared" si="3"/>
        <v>36000</v>
      </c>
    </row>
    <row r="39" spans="1:8" ht="15" customHeight="1" x14ac:dyDescent="0.2">
      <c r="A39" s="238" t="s">
        <v>204</v>
      </c>
      <c r="B39" s="367">
        <v>0.8272425249169435</v>
      </c>
      <c r="C39" s="367">
        <v>0.8666666666666667</v>
      </c>
      <c r="D39" s="367">
        <v>0.84420289855072461</v>
      </c>
      <c r="E39" s="367">
        <v>1.6960373633781112E-2</v>
      </c>
      <c r="F39" s="366">
        <v>276</v>
      </c>
      <c r="G39" s="381">
        <v>3</v>
      </c>
      <c r="H39" s="401">
        <f t="shared" si="3"/>
        <v>12000</v>
      </c>
    </row>
    <row r="40" spans="1:8" ht="15" customHeight="1" x14ac:dyDescent="0.2">
      <c r="A40" s="239" t="s">
        <v>205</v>
      </c>
      <c r="B40" s="368">
        <v>0.75947641123534226</v>
      </c>
      <c r="C40" s="368">
        <v>0.76932403758714762</v>
      </c>
      <c r="D40" s="368">
        <v>0.78449053201082053</v>
      </c>
      <c r="E40" s="368">
        <v>2.5014120775478266E-2</v>
      </c>
      <c r="F40" s="369">
        <v>3327</v>
      </c>
      <c r="G40" s="382">
        <v>62</v>
      </c>
      <c r="H40" s="370">
        <f t="shared" si="3"/>
        <v>248000</v>
      </c>
    </row>
    <row r="41" spans="1:8" ht="15" customHeight="1" x14ac:dyDescent="0.2">
      <c r="A41" s="240" t="s">
        <v>206</v>
      </c>
      <c r="B41" s="371">
        <v>0.63447856491334753</v>
      </c>
      <c r="C41" s="371">
        <v>0.63224761786136885</v>
      </c>
      <c r="D41" s="371">
        <v>0.64930823585297781</v>
      </c>
      <c r="E41" s="371">
        <v>1.4829670939630279E-2</v>
      </c>
      <c r="F41" s="372">
        <v>16841</v>
      </c>
      <c r="G41" s="383">
        <v>328</v>
      </c>
      <c r="H41" s="402">
        <f>H32+H40</f>
        <v>1312000</v>
      </c>
    </row>
    <row r="42" spans="1:8" ht="15" customHeight="1" x14ac:dyDescent="0.2">
      <c r="A42" s="336" t="s">
        <v>262</v>
      </c>
      <c r="B42" s="384"/>
      <c r="C42" s="384"/>
      <c r="D42" s="384"/>
      <c r="E42" s="384"/>
      <c r="F42" s="384"/>
      <c r="G42" s="384"/>
      <c r="H42" s="399">
        <v>4000</v>
      </c>
    </row>
  </sheetData>
  <mergeCells count="6">
    <mergeCell ref="A1:H1"/>
    <mergeCell ref="A2:H2"/>
    <mergeCell ref="A3:H3"/>
    <mergeCell ref="B4:B5"/>
    <mergeCell ref="C4:C5"/>
    <mergeCell ref="D4:D5"/>
  </mergeCells>
  <printOptions horizontalCentered="1"/>
  <pageMargins left="0.2" right="0.2" top="0.5" bottom="0.5" header="0" footer="0.3"/>
  <pageSetup scale="95" orientation="portrait" r:id="rId1"/>
  <headerFooter>
    <oddFooter>&amp;LSource: System Office Research - Academic and Student Affairs   
&amp;Z&amp;F&amp;A
February 5, 2018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I44"/>
  <sheetViews>
    <sheetView zoomScale="80" zoomScaleNormal="80" workbookViewId="0">
      <selection activeCell="A4" sqref="A4"/>
    </sheetView>
  </sheetViews>
  <sheetFormatPr defaultRowHeight="15" customHeight="1" x14ac:dyDescent="0.2"/>
  <cols>
    <col min="1" max="1" width="6.85546875" customWidth="1"/>
    <col min="2" max="2" width="33.5703125" customWidth="1"/>
    <col min="3" max="3" width="16.7109375" customWidth="1"/>
    <col min="4" max="4" width="17.42578125" customWidth="1"/>
    <col min="5" max="5" width="13.140625" customWidth="1"/>
    <col min="6" max="6" width="13.5703125" customWidth="1"/>
    <col min="7" max="7" width="2.7109375" customWidth="1"/>
    <col min="8" max="8" width="21.42578125" style="11" customWidth="1"/>
    <col min="9" max="9" width="14.5703125" customWidth="1"/>
  </cols>
  <sheetData>
    <row r="1" spans="1:9" ht="15" customHeight="1" x14ac:dyDescent="0.25">
      <c r="A1" s="33" t="s">
        <v>245</v>
      </c>
      <c r="H1" s="348" t="s">
        <v>272</v>
      </c>
    </row>
    <row r="2" spans="1:9" ht="15" customHeight="1" x14ac:dyDescent="0.2">
      <c r="A2" s="4" t="s">
        <v>89</v>
      </c>
    </row>
    <row r="3" spans="1:9" ht="15" customHeight="1" x14ac:dyDescent="0.2">
      <c r="A3" s="4" t="s">
        <v>326</v>
      </c>
    </row>
    <row r="5" spans="1:9" ht="15" customHeight="1" x14ac:dyDescent="0.2">
      <c r="H5" s="19" t="s">
        <v>141</v>
      </c>
    </row>
    <row r="6" spans="1:9" ht="15" customHeight="1" x14ac:dyDescent="0.2">
      <c r="C6" s="19" t="s">
        <v>78</v>
      </c>
      <c r="D6" s="19" t="s">
        <v>73</v>
      </c>
      <c r="E6" s="19" t="s">
        <v>74</v>
      </c>
      <c r="F6" s="19" t="s">
        <v>75</v>
      </c>
      <c r="G6" s="19"/>
      <c r="H6" s="29" t="s">
        <v>76</v>
      </c>
    </row>
    <row r="7" spans="1:9" ht="61.5" customHeight="1" x14ac:dyDescent="0.2">
      <c r="A7" s="165" t="s">
        <v>0</v>
      </c>
      <c r="B7" s="166" t="s">
        <v>82</v>
      </c>
      <c r="C7" s="165" t="s">
        <v>142</v>
      </c>
      <c r="D7" s="28" t="s">
        <v>143</v>
      </c>
      <c r="E7" s="30" t="s">
        <v>91</v>
      </c>
      <c r="F7" s="167" t="s">
        <v>117</v>
      </c>
      <c r="H7" s="27" t="s">
        <v>90</v>
      </c>
    </row>
    <row r="8" spans="1:9" ht="15" customHeight="1" x14ac:dyDescent="0.2">
      <c r="B8" s="31"/>
      <c r="D8" s="11"/>
      <c r="F8" s="11"/>
    </row>
    <row r="9" spans="1:9" ht="15" customHeight="1" x14ac:dyDescent="0.2">
      <c r="A9" s="168" t="s">
        <v>2</v>
      </c>
      <c r="B9" s="169" t="s">
        <v>126</v>
      </c>
      <c r="C9" s="170"/>
      <c r="D9" s="170">
        <v>15478</v>
      </c>
      <c r="E9" s="170">
        <f>C9+D9</f>
        <v>15478</v>
      </c>
      <c r="F9" s="171">
        <f>'Revenue Offset'!G8</f>
        <v>0.44033077247037733</v>
      </c>
      <c r="H9" s="32">
        <f>E9*(1-F9)</f>
        <v>8662.5603037034998</v>
      </c>
    </row>
    <row r="10" spans="1:9" ht="15" customHeight="1" x14ac:dyDescent="0.2">
      <c r="A10" s="168" t="s">
        <v>4</v>
      </c>
      <c r="B10" s="169" t="s">
        <v>122</v>
      </c>
      <c r="C10" s="170">
        <v>42699.23</v>
      </c>
      <c r="D10" s="172"/>
      <c r="E10" s="170">
        <f t="shared" ref="E10:E38" si="0">C10+D10</f>
        <v>42699.23</v>
      </c>
      <c r="F10" s="171">
        <f>'Revenue Offset'!G9</f>
        <v>0.46741428016337599</v>
      </c>
      <c r="H10" s="32">
        <f t="shared" ref="H10:H38" si="1">E10*(1-F10)</f>
        <v>22741.000146019571</v>
      </c>
    </row>
    <row r="11" spans="1:9" ht="15" customHeight="1" x14ac:dyDescent="0.2">
      <c r="A11" s="168" t="s">
        <v>5</v>
      </c>
      <c r="B11" s="169" t="s">
        <v>112</v>
      </c>
      <c r="C11" s="172"/>
      <c r="D11" s="172">
        <f>58991.45+5977.62</f>
        <v>64969.07</v>
      </c>
      <c r="E11" s="170">
        <f t="shared" si="0"/>
        <v>64969.07</v>
      </c>
      <c r="F11" s="171">
        <f>'Revenue Offset'!G10</f>
        <v>0.51460019407463908</v>
      </c>
      <c r="H11" s="32">
        <f t="shared" si="1"/>
        <v>31535.97396915119</v>
      </c>
      <c r="I11" s="22"/>
    </row>
    <row r="12" spans="1:9" ht="15" customHeight="1" x14ac:dyDescent="0.2">
      <c r="A12" s="168" t="s">
        <v>6</v>
      </c>
      <c r="B12" s="169" t="s">
        <v>7</v>
      </c>
      <c r="C12" s="170"/>
      <c r="D12" s="170"/>
      <c r="E12" s="170">
        <f t="shared" si="0"/>
        <v>0</v>
      </c>
      <c r="F12" s="171">
        <f>'Revenue Offset'!G11</f>
        <v>0.42113103549241043</v>
      </c>
      <c r="H12" s="32">
        <f t="shared" si="1"/>
        <v>0</v>
      </c>
    </row>
    <row r="13" spans="1:9" ht="15" customHeight="1" x14ac:dyDescent="0.2">
      <c r="A13" s="168" t="s">
        <v>8</v>
      </c>
      <c r="B13" s="169" t="s">
        <v>9</v>
      </c>
      <c r="C13" s="170"/>
      <c r="D13" s="170">
        <v>45232.62</v>
      </c>
      <c r="E13" s="170">
        <f t="shared" si="0"/>
        <v>45232.62</v>
      </c>
      <c r="F13" s="171">
        <f>'Revenue Offset'!G12</f>
        <v>0.46286235981594193</v>
      </c>
      <c r="H13" s="32">
        <f t="shared" si="1"/>
        <v>24296.142766142231</v>
      </c>
    </row>
    <row r="14" spans="1:9" ht="15" customHeight="1" x14ac:dyDescent="0.2">
      <c r="A14" s="168" t="s">
        <v>10</v>
      </c>
      <c r="B14" s="3" t="s">
        <v>144</v>
      </c>
      <c r="C14" s="170"/>
      <c r="D14" s="170">
        <f>812712.79</f>
        <v>812712.79</v>
      </c>
      <c r="E14" s="170">
        <f t="shared" si="0"/>
        <v>812712.79</v>
      </c>
      <c r="F14" s="171">
        <f>'Revenue Offset'!G13</f>
        <v>0.43292684964817507</v>
      </c>
      <c r="H14" s="32">
        <f t="shared" si="1"/>
        <v>460867.60215652111</v>
      </c>
    </row>
    <row r="15" spans="1:9" ht="15" customHeight="1" x14ac:dyDescent="0.2">
      <c r="A15" s="168" t="s">
        <v>12</v>
      </c>
      <c r="B15" s="169" t="s">
        <v>13</v>
      </c>
      <c r="C15" s="170"/>
      <c r="D15" s="170"/>
      <c r="E15" s="170">
        <f t="shared" si="0"/>
        <v>0</v>
      </c>
      <c r="F15" s="171">
        <f>'Revenue Offset'!G14</f>
        <v>0.33715193015599199</v>
      </c>
      <c r="H15" s="32">
        <f t="shared" si="1"/>
        <v>0</v>
      </c>
    </row>
    <row r="16" spans="1:9" ht="15" customHeight="1" x14ac:dyDescent="0.2">
      <c r="A16" s="168" t="s">
        <v>14</v>
      </c>
      <c r="B16" s="169" t="s">
        <v>137</v>
      </c>
      <c r="C16" s="170"/>
      <c r="D16" s="170"/>
      <c r="E16" s="170">
        <f t="shared" si="0"/>
        <v>0</v>
      </c>
      <c r="F16" s="171">
        <f>'Revenue Offset'!G15</f>
        <v>0.36904541466123802</v>
      </c>
      <c r="H16" s="32">
        <f t="shared" si="1"/>
        <v>0</v>
      </c>
    </row>
    <row r="17" spans="1:8" ht="15" customHeight="1" x14ac:dyDescent="0.2">
      <c r="A17" s="168" t="s">
        <v>16</v>
      </c>
      <c r="B17" s="169" t="s">
        <v>17</v>
      </c>
      <c r="C17" s="170"/>
      <c r="D17" s="170">
        <v>4151.22</v>
      </c>
      <c r="E17" s="170">
        <f t="shared" si="0"/>
        <v>4151.22</v>
      </c>
      <c r="F17" s="171">
        <f>'Revenue Offset'!G16</f>
        <v>0.39146000294713518</v>
      </c>
      <c r="H17" s="32">
        <f t="shared" si="1"/>
        <v>2526.183406565794</v>
      </c>
    </row>
    <row r="18" spans="1:8" ht="15" customHeight="1" x14ac:dyDescent="0.2">
      <c r="A18" s="168" t="s">
        <v>18</v>
      </c>
      <c r="B18" s="169" t="s">
        <v>138</v>
      </c>
      <c r="C18" s="170">
        <v>364905.85</v>
      </c>
      <c r="D18" s="170">
        <v>49773.74</v>
      </c>
      <c r="E18" s="170">
        <f t="shared" si="0"/>
        <v>414679.58999999997</v>
      </c>
      <c r="F18" s="171">
        <f>'Revenue Offset'!G17</f>
        <v>0.52255445819623836</v>
      </c>
      <c r="H18" s="32">
        <f t="shared" si="1"/>
        <v>197986.92152251172</v>
      </c>
    </row>
    <row r="19" spans="1:8" ht="15" customHeight="1" x14ac:dyDescent="0.2">
      <c r="A19" s="168" t="s">
        <v>19</v>
      </c>
      <c r="B19" s="169" t="s">
        <v>127</v>
      </c>
      <c r="C19" s="170"/>
      <c r="D19" s="170">
        <v>84513.66</v>
      </c>
      <c r="E19" s="170">
        <f t="shared" si="0"/>
        <v>84513.66</v>
      </c>
      <c r="F19" s="171">
        <f>'Revenue Offset'!G18</f>
        <v>0.44299468497228722</v>
      </c>
      <c r="H19" s="32">
        <f t="shared" si="1"/>
        <v>47074.557812445011</v>
      </c>
    </row>
    <row r="20" spans="1:8" ht="15" customHeight="1" x14ac:dyDescent="0.2">
      <c r="A20" s="168" t="s">
        <v>116</v>
      </c>
      <c r="B20" s="169" t="s">
        <v>293</v>
      </c>
      <c r="C20" s="170"/>
      <c r="D20" s="170">
        <v>419117.75</v>
      </c>
      <c r="E20" s="170">
        <f>C20+D20</f>
        <v>419117.75</v>
      </c>
      <c r="F20" s="171">
        <f>'Revenue Offset'!G19</f>
        <v>0.37885410660078628</v>
      </c>
      <c r="H20" s="32">
        <f>E20*(1-F20)</f>
        <v>260333.26926321833</v>
      </c>
    </row>
    <row r="21" spans="1:8" ht="15" customHeight="1" x14ac:dyDescent="0.2">
      <c r="A21" s="168" t="s">
        <v>21</v>
      </c>
      <c r="B21" s="173" t="s">
        <v>174</v>
      </c>
      <c r="C21" s="170"/>
      <c r="D21" s="170"/>
      <c r="E21" s="170">
        <f t="shared" si="0"/>
        <v>0</v>
      </c>
      <c r="F21" s="171">
        <f>'Revenue Offset'!G20</f>
        <v>0.3926261223615316</v>
      </c>
      <c r="H21" s="32">
        <f t="shared" si="1"/>
        <v>0</v>
      </c>
    </row>
    <row r="22" spans="1:8" ht="15" customHeight="1" x14ac:dyDescent="0.2">
      <c r="A22" s="168" t="s">
        <v>108</v>
      </c>
      <c r="B22" s="169" t="s">
        <v>139</v>
      </c>
      <c r="C22" s="170"/>
      <c r="D22" s="170">
        <v>69802.23</v>
      </c>
      <c r="E22" s="170">
        <f t="shared" si="0"/>
        <v>69802.23</v>
      </c>
      <c r="F22" s="171">
        <f>'Revenue Offset'!G21</f>
        <v>0.402691052440108</v>
      </c>
      <c r="H22" s="32">
        <f t="shared" si="1"/>
        <v>41693.496538633524</v>
      </c>
    </row>
    <row r="23" spans="1:8" ht="15" customHeight="1" x14ac:dyDescent="0.2">
      <c r="A23" s="168" t="s">
        <v>26</v>
      </c>
      <c r="B23" s="169" t="s">
        <v>62</v>
      </c>
      <c r="C23" s="170">
        <v>1746.32</v>
      </c>
      <c r="D23" s="170">
        <v>525293.30000000005</v>
      </c>
      <c r="E23" s="170">
        <f t="shared" si="0"/>
        <v>527039.62</v>
      </c>
      <c r="F23" s="171">
        <f>'Revenue Offset'!G22</f>
        <v>0.5390574292998197</v>
      </c>
      <c r="H23" s="32">
        <f t="shared" si="1"/>
        <v>242934.99730364615</v>
      </c>
    </row>
    <row r="24" spans="1:8" ht="15" customHeight="1" x14ac:dyDescent="0.2">
      <c r="A24" s="168" t="s">
        <v>22</v>
      </c>
      <c r="B24" s="169" t="s">
        <v>23</v>
      </c>
      <c r="C24" s="170">
        <v>1606873.39</v>
      </c>
      <c r="D24" s="170">
        <v>1220162.02</v>
      </c>
      <c r="E24" s="170">
        <f t="shared" si="0"/>
        <v>2827035.41</v>
      </c>
      <c r="F24" s="171">
        <f>'Revenue Offset'!G23</f>
        <v>0.63724695728014435</v>
      </c>
      <c r="H24" s="32">
        <f t="shared" si="1"/>
        <v>1025515.6968542747</v>
      </c>
    </row>
    <row r="25" spans="1:8" ht="15" customHeight="1" x14ac:dyDescent="0.2">
      <c r="A25" s="168" t="s">
        <v>24</v>
      </c>
      <c r="B25" s="169" t="s">
        <v>135</v>
      </c>
      <c r="C25" s="170">
        <v>46248.17</v>
      </c>
      <c r="D25" s="170">
        <v>466676.02</v>
      </c>
      <c r="E25" s="170">
        <f t="shared" si="0"/>
        <v>512924.19</v>
      </c>
      <c r="F25" s="171">
        <f>'Revenue Offset'!G24</f>
        <v>0.41106785018464187</v>
      </c>
      <c r="H25" s="32">
        <f t="shared" si="1"/>
        <v>302077.5459090012</v>
      </c>
    </row>
    <row r="26" spans="1:8" ht="15" customHeight="1" x14ac:dyDescent="0.2">
      <c r="A26" s="168" t="s">
        <v>27</v>
      </c>
      <c r="B26" s="169" t="s">
        <v>130</v>
      </c>
      <c r="C26" s="170">
        <v>109665.82</v>
      </c>
      <c r="D26" s="170"/>
      <c r="E26" s="170">
        <f t="shared" si="0"/>
        <v>109665.82</v>
      </c>
      <c r="F26" s="171">
        <f>'Revenue Offset'!G25</f>
        <v>0.50654503600839607</v>
      </c>
      <c r="H26" s="32">
        <f t="shared" si="1"/>
        <v>54115.143259209719</v>
      </c>
    </row>
    <row r="27" spans="1:8" ht="15" customHeight="1" x14ac:dyDescent="0.2">
      <c r="A27" s="168" t="s">
        <v>29</v>
      </c>
      <c r="B27" s="169" t="s">
        <v>131</v>
      </c>
      <c r="C27" s="170"/>
      <c r="D27" s="170"/>
      <c r="E27" s="170">
        <f t="shared" si="0"/>
        <v>0</v>
      </c>
      <c r="F27" s="171">
        <f>'Revenue Offset'!G26</f>
        <v>0.42197326097175397</v>
      </c>
      <c r="H27" s="32">
        <f t="shared" si="1"/>
        <v>0</v>
      </c>
    </row>
    <row r="28" spans="1:8" ht="15" customHeight="1" x14ac:dyDescent="0.2">
      <c r="A28" s="168" t="s">
        <v>31</v>
      </c>
      <c r="B28" s="169" t="s">
        <v>132</v>
      </c>
      <c r="C28" s="170">
        <v>7640.61</v>
      </c>
      <c r="D28" s="170">
        <v>42828.88</v>
      </c>
      <c r="E28" s="170">
        <f t="shared" si="0"/>
        <v>50469.49</v>
      </c>
      <c r="F28" s="171">
        <f>'Revenue Offset'!G27</f>
        <v>0.36861818717307604</v>
      </c>
      <c r="H28" s="32">
        <f t="shared" si="1"/>
        <v>31865.518088650308</v>
      </c>
    </row>
    <row r="29" spans="1:8" ht="15" customHeight="1" x14ac:dyDescent="0.2">
      <c r="A29" s="168" t="s">
        <v>33</v>
      </c>
      <c r="B29" s="169" t="s">
        <v>128</v>
      </c>
      <c r="C29" s="170"/>
      <c r="D29" s="170"/>
      <c r="E29" s="170">
        <f t="shared" si="0"/>
        <v>0</v>
      </c>
      <c r="F29" s="171">
        <f>'Revenue Offset'!G28</f>
        <v>0.33523632816732252</v>
      </c>
      <c r="H29" s="32">
        <f t="shared" si="1"/>
        <v>0</v>
      </c>
    </row>
    <row r="30" spans="1:8" ht="15" customHeight="1" x14ac:dyDescent="0.2">
      <c r="A30" s="168" t="s">
        <v>35</v>
      </c>
      <c r="B30" s="169" t="s">
        <v>36</v>
      </c>
      <c r="C30" s="170"/>
      <c r="D30" s="170"/>
      <c r="E30" s="170">
        <f t="shared" si="0"/>
        <v>0</v>
      </c>
      <c r="F30" s="171">
        <f>'Revenue Offset'!G29</f>
        <v>0.4213427221697979</v>
      </c>
      <c r="H30" s="32">
        <f t="shared" si="1"/>
        <v>0</v>
      </c>
    </row>
    <row r="31" spans="1:8" ht="15" customHeight="1" x14ac:dyDescent="0.2">
      <c r="A31" s="168" t="s">
        <v>37</v>
      </c>
      <c r="B31" s="169" t="s">
        <v>129</v>
      </c>
      <c r="C31" s="170"/>
      <c r="D31" s="170"/>
      <c r="E31" s="170">
        <f t="shared" si="0"/>
        <v>0</v>
      </c>
      <c r="F31" s="171">
        <f>'Revenue Offset'!G30</f>
        <v>0.43769735215033734</v>
      </c>
      <c r="H31" s="32">
        <f t="shared" si="1"/>
        <v>0</v>
      </c>
    </row>
    <row r="32" spans="1:8" ht="15" customHeight="1" x14ac:dyDescent="0.2">
      <c r="A32" s="168" t="s">
        <v>39</v>
      </c>
      <c r="B32" s="169" t="s">
        <v>133</v>
      </c>
      <c r="C32" s="170"/>
      <c r="D32" s="170">
        <v>433692.3</v>
      </c>
      <c r="E32" s="170">
        <f t="shared" si="0"/>
        <v>433692.3</v>
      </c>
      <c r="F32" s="171">
        <f>'Revenue Offset'!G31</f>
        <v>0.47111906577098772</v>
      </c>
      <c r="H32" s="32">
        <f t="shared" si="1"/>
        <v>229371.58879192907</v>
      </c>
    </row>
    <row r="33" spans="1:8" ht="15" customHeight="1" x14ac:dyDescent="0.2">
      <c r="A33" s="168" t="s">
        <v>46</v>
      </c>
      <c r="B33" s="169" t="s">
        <v>69</v>
      </c>
      <c r="C33" s="170"/>
      <c r="D33" s="170"/>
      <c r="E33" s="170">
        <f t="shared" si="0"/>
        <v>0</v>
      </c>
      <c r="F33" s="171">
        <f>'Revenue Offset'!G32</f>
        <v>0.42873095002098827</v>
      </c>
      <c r="H33" s="32">
        <f t="shared" si="1"/>
        <v>0</v>
      </c>
    </row>
    <row r="34" spans="1:8" ht="15" customHeight="1" x14ac:dyDescent="0.2">
      <c r="A34" s="168" t="s">
        <v>41</v>
      </c>
      <c r="B34" s="169" t="s">
        <v>115</v>
      </c>
      <c r="C34" s="170"/>
      <c r="D34" s="170">
        <v>13601.23</v>
      </c>
      <c r="E34" s="170">
        <f t="shared" si="0"/>
        <v>13601.23</v>
      </c>
      <c r="F34" s="171">
        <f>'Revenue Offset'!G33</f>
        <v>0.39561511236123237</v>
      </c>
      <c r="H34" s="32">
        <f t="shared" si="1"/>
        <v>8220.377865299035</v>
      </c>
    </row>
    <row r="35" spans="1:8" ht="15" customHeight="1" x14ac:dyDescent="0.2">
      <c r="A35" s="168" t="s">
        <v>42</v>
      </c>
      <c r="B35" s="169" t="s">
        <v>68</v>
      </c>
      <c r="C35" s="170">
        <v>71317.19</v>
      </c>
      <c r="D35" s="170">
        <v>87372.88</v>
      </c>
      <c r="E35" s="170">
        <f t="shared" si="0"/>
        <v>158690.07</v>
      </c>
      <c r="F35" s="171">
        <f>'Revenue Offset'!G34</f>
        <v>0.49611823141236078</v>
      </c>
      <c r="H35" s="32">
        <f t="shared" si="1"/>
        <v>79961.033128896277</v>
      </c>
    </row>
    <row r="36" spans="1:8" ht="15" customHeight="1" x14ac:dyDescent="0.2">
      <c r="A36" s="168" t="s">
        <v>43</v>
      </c>
      <c r="B36" s="169" t="s">
        <v>44</v>
      </c>
      <c r="C36" s="170">
        <v>1039231.86</v>
      </c>
      <c r="D36" s="170">
        <v>2296260.48</v>
      </c>
      <c r="E36" s="170">
        <f t="shared" si="0"/>
        <v>3335492.34</v>
      </c>
      <c r="F36" s="171">
        <f>'Revenue Offset'!G35</f>
        <v>0.51181667722381252</v>
      </c>
      <c r="H36" s="32">
        <f t="shared" si="1"/>
        <v>1628331.7336357208</v>
      </c>
    </row>
    <row r="37" spans="1:8" ht="15" customHeight="1" x14ac:dyDescent="0.2">
      <c r="A37" s="168" t="s">
        <v>45</v>
      </c>
      <c r="B37" s="169" t="s">
        <v>134</v>
      </c>
      <c r="C37" s="170"/>
      <c r="D37" s="170"/>
      <c r="E37" s="170">
        <f t="shared" si="0"/>
        <v>0</v>
      </c>
      <c r="F37" s="171">
        <f>'Revenue Offset'!G36</f>
        <v>0.4587412308621322</v>
      </c>
      <c r="H37" s="32">
        <f t="shared" si="1"/>
        <v>0</v>
      </c>
    </row>
    <row r="38" spans="1:8" ht="15" customHeight="1" x14ac:dyDescent="0.2">
      <c r="A38" s="168" t="s">
        <v>47</v>
      </c>
      <c r="B38" s="169" t="s">
        <v>48</v>
      </c>
      <c r="C38" s="170">
        <v>58451.199999999997</v>
      </c>
      <c r="D38" s="170">
        <v>221187.69</v>
      </c>
      <c r="E38" s="170">
        <f t="shared" si="0"/>
        <v>279638.89</v>
      </c>
      <c r="F38" s="171">
        <f>'Revenue Offset'!G37</f>
        <v>0.53480357403864109</v>
      </c>
      <c r="H38" s="32">
        <f t="shared" si="1"/>
        <v>130087.01218780159</v>
      </c>
    </row>
    <row r="39" spans="1:8" ht="15" customHeight="1" x14ac:dyDescent="0.2">
      <c r="D39" s="11"/>
      <c r="F39" s="11"/>
    </row>
    <row r="40" spans="1:8" ht="15" customHeight="1" x14ac:dyDescent="0.2">
      <c r="B40" t="s">
        <v>49</v>
      </c>
      <c r="C40" s="174">
        <f>SUM(C9:C39)</f>
        <v>3348779.6399999997</v>
      </c>
      <c r="D40" s="174">
        <f>SUM(D9:D39)</f>
        <v>6872825.8799999999</v>
      </c>
      <c r="E40" s="174">
        <f>SUM(E9:E39)</f>
        <v>10221605.520000001</v>
      </c>
      <c r="F40" s="175">
        <f>'[1]Revenue Offset (2)'!G40</f>
        <v>0.58953142624222721</v>
      </c>
      <c r="H40" s="174">
        <f>SUM(H9:H39)</f>
        <v>4830198.3549093399</v>
      </c>
    </row>
    <row r="42" spans="1:8" ht="15" customHeight="1" x14ac:dyDescent="0.2">
      <c r="A42" s="15" t="s">
        <v>301</v>
      </c>
      <c r="C42" s="11">
        <f>C40-341.61-2445</f>
        <v>3345993.03</v>
      </c>
      <c r="D42" s="22">
        <f>D40-808.53-734.34</f>
        <v>6871283.0099999998</v>
      </c>
    </row>
    <row r="43" spans="1:8" ht="15" customHeight="1" x14ac:dyDescent="0.2">
      <c r="A43" s="15"/>
    </row>
    <row r="44" spans="1:8" ht="15" customHeight="1" x14ac:dyDescent="0.2">
      <c r="A44" s="15"/>
    </row>
  </sheetData>
  <phoneticPr fontId="11" type="noConversion"/>
  <pageMargins left="0.75" right="0.53" top="0.47" bottom="0.28999999999999998" header="0.5" footer="0.28999999999999998"/>
  <pageSetup scale="8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H47"/>
  <sheetViews>
    <sheetView zoomScale="90" zoomScaleNormal="90" workbookViewId="0">
      <selection activeCell="L21" sqref="L21"/>
    </sheetView>
  </sheetViews>
  <sheetFormatPr defaultColWidth="9.140625" defaultRowHeight="12.75" x14ac:dyDescent="0.2"/>
  <cols>
    <col min="1" max="1" width="6" style="187" customWidth="1"/>
    <col min="2" max="2" width="31.85546875" style="177" customWidth="1"/>
    <col min="3" max="3" width="14.7109375" style="178" customWidth="1"/>
    <col min="4" max="4" width="13.42578125" style="179" bestFit="1" customWidth="1"/>
    <col min="5" max="5" width="14.7109375" style="179" customWidth="1"/>
    <col min="6" max="6" width="15.140625" style="177" customWidth="1"/>
    <col min="7" max="7" width="13.5703125" style="180" customWidth="1"/>
    <col min="8" max="8" width="2.42578125" style="180" customWidth="1"/>
    <col min="9" max="10" width="9.140625" style="177" customWidth="1"/>
    <col min="11" max="16384" width="9.140625" style="177"/>
  </cols>
  <sheetData>
    <row r="1" spans="1:8" ht="15.75" x14ac:dyDescent="0.25">
      <c r="A1" s="176" t="s">
        <v>245</v>
      </c>
      <c r="G1" s="349" t="s">
        <v>273</v>
      </c>
    </row>
    <row r="2" spans="1:8" x14ac:dyDescent="0.2">
      <c r="A2" s="181" t="s">
        <v>92</v>
      </c>
    </row>
    <row r="3" spans="1:8" x14ac:dyDescent="0.2">
      <c r="A3" s="181" t="s">
        <v>298</v>
      </c>
    </row>
    <row r="4" spans="1:8" s="183" customFormat="1" ht="12.75" customHeight="1" x14ac:dyDescent="0.2">
      <c r="A4" s="182" t="s">
        <v>155</v>
      </c>
      <c r="C4" s="184"/>
      <c r="D4" s="185"/>
      <c r="E4" s="185" t="s">
        <v>93</v>
      </c>
      <c r="G4" s="186" t="s">
        <v>156</v>
      </c>
      <c r="H4" s="186"/>
    </row>
    <row r="5" spans="1:8" x14ac:dyDescent="0.2">
      <c r="C5" s="184" t="s">
        <v>78</v>
      </c>
      <c r="D5" s="185" t="s">
        <v>73</v>
      </c>
      <c r="E5" s="185" t="s">
        <v>157</v>
      </c>
      <c r="F5" s="183" t="s">
        <v>75</v>
      </c>
      <c r="G5" s="186" t="s">
        <v>76</v>
      </c>
      <c r="H5" s="186"/>
    </row>
    <row r="6" spans="1:8" s="194" customFormat="1" ht="47.25" x14ac:dyDescent="0.25">
      <c r="A6" s="188" t="s">
        <v>0</v>
      </c>
      <c r="B6" s="188" t="s">
        <v>1</v>
      </c>
      <c r="C6" s="189" t="s">
        <v>299</v>
      </c>
      <c r="D6" s="190" t="s">
        <v>94</v>
      </c>
      <c r="E6" s="190" t="s">
        <v>95</v>
      </c>
      <c r="F6" s="191" t="s">
        <v>300</v>
      </c>
      <c r="G6" s="193" t="s">
        <v>117</v>
      </c>
      <c r="H6" s="192"/>
    </row>
    <row r="7" spans="1:8" s="194" customFormat="1" x14ac:dyDescent="0.2">
      <c r="A7" s="98"/>
      <c r="B7" s="98"/>
      <c r="C7" s="159"/>
      <c r="D7" s="196"/>
      <c r="E7" s="196"/>
      <c r="G7" s="197"/>
      <c r="H7" s="197"/>
    </row>
    <row r="8" spans="1:8" x14ac:dyDescent="0.2">
      <c r="A8" s="198" t="s">
        <v>2</v>
      </c>
      <c r="B8" s="199" t="s">
        <v>126</v>
      </c>
      <c r="C8" s="200">
        <v>27314917.609999999</v>
      </c>
      <c r="D8" s="375">
        <v>1459202.38</v>
      </c>
      <c r="E8" s="201">
        <f t="shared" ref="E8:E37" si="0">C8-D8</f>
        <v>25855715.23</v>
      </c>
      <c r="F8" s="412">
        <v>14470648.17</v>
      </c>
      <c r="G8" s="320">
        <f>(E8-F8)/E8</f>
        <v>0.44033077247037733</v>
      </c>
      <c r="H8" s="202"/>
    </row>
    <row r="9" spans="1:8" x14ac:dyDescent="0.2">
      <c r="A9" s="198" t="s">
        <v>4</v>
      </c>
      <c r="B9" s="199" t="s">
        <v>122</v>
      </c>
      <c r="C9" s="200">
        <v>78048472.180000007</v>
      </c>
      <c r="D9" s="375">
        <v>563310.5</v>
      </c>
      <c r="E9" s="201">
        <f t="shared" si="0"/>
        <v>77485161.680000007</v>
      </c>
      <c r="F9" s="412">
        <v>41267490.609999999</v>
      </c>
      <c r="G9" s="320">
        <f t="shared" ref="G9:G37" si="1">(E9-F9)/E9</f>
        <v>0.46741428016337599</v>
      </c>
      <c r="H9" s="202"/>
    </row>
    <row r="10" spans="1:8" x14ac:dyDescent="0.2">
      <c r="A10" s="198" t="s">
        <v>5</v>
      </c>
      <c r="B10" s="199" t="s">
        <v>112</v>
      </c>
      <c r="C10" s="203">
        <v>73067764.390000001</v>
      </c>
      <c r="D10" s="375">
        <v>1003582.94</v>
      </c>
      <c r="E10" s="201">
        <f t="shared" si="0"/>
        <v>72064181.450000003</v>
      </c>
      <c r="F10" s="412">
        <v>34979939.689999998</v>
      </c>
      <c r="G10" s="320">
        <f t="shared" si="1"/>
        <v>0.51460019407463908</v>
      </c>
      <c r="H10" s="202"/>
    </row>
    <row r="11" spans="1:8" x14ac:dyDescent="0.2">
      <c r="A11" s="198" t="s">
        <v>6</v>
      </c>
      <c r="B11" s="199" t="s">
        <v>7</v>
      </c>
      <c r="C11" s="200">
        <v>34541881.310000002</v>
      </c>
      <c r="D11" s="375">
        <v>1316633.25</v>
      </c>
      <c r="E11" s="201">
        <f t="shared" si="0"/>
        <v>33225248.060000002</v>
      </c>
      <c r="F11" s="412">
        <v>19233064.940000001</v>
      </c>
      <c r="G11" s="320">
        <f t="shared" si="1"/>
        <v>0.42113103549241043</v>
      </c>
      <c r="H11" s="202"/>
    </row>
    <row r="12" spans="1:8" x14ac:dyDescent="0.2">
      <c r="A12" s="198" t="s">
        <v>8</v>
      </c>
      <c r="B12" s="199" t="s">
        <v>9</v>
      </c>
      <c r="C12" s="200">
        <v>68965129.989999995</v>
      </c>
      <c r="D12" s="375">
        <v>387113.66</v>
      </c>
      <c r="E12" s="201">
        <f t="shared" si="0"/>
        <v>68578016.329999998</v>
      </c>
      <c r="F12" s="412">
        <v>36835833.859999999</v>
      </c>
      <c r="G12" s="320">
        <f t="shared" si="1"/>
        <v>0.46286235981594193</v>
      </c>
      <c r="H12" s="202"/>
    </row>
    <row r="13" spans="1:8" x14ac:dyDescent="0.2">
      <c r="A13" s="198" t="s">
        <v>10</v>
      </c>
      <c r="B13" s="3" t="s">
        <v>144</v>
      </c>
      <c r="C13" s="200">
        <v>61556574.210000001</v>
      </c>
      <c r="D13" s="375">
        <v>861856.15</v>
      </c>
      <c r="E13" s="201">
        <f t="shared" si="0"/>
        <v>60694718.060000002</v>
      </c>
      <c r="F13" s="412">
        <v>34418344.980000004</v>
      </c>
      <c r="G13" s="320">
        <f t="shared" si="1"/>
        <v>0.43292684964817507</v>
      </c>
      <c r="H13" s="202"/>
    </row>
    <row r="14" spans="1:8" x14ac:dyDescent="0.2">
      <c r="A14" s="198" t="s">
        <v>12</v>
      </c>
      <c r="B14" s="199" t="s">
        <v>13</v>
      </c>
      <c r="C14" s="200">
        <v>10968501.43</v>
      </c>
      <c r="D14" s="375">
        <v>83114.66</v>
      </c>
      <c r="E14" s="201">
        <f t="shared" si="0"/>
        <v>10885386.77</v>
      </c>
      <c r="F14" s="412">
        <v>7215357.6100000003</v>
      </c>
      <c r="G14" s="320">
        <f t="shared" si="1"/>
        <v>0.33715193015599199</v>
      </c>
      <c r="H14" s="202"/>
    </row>
    <row r="15" spans="1:8" x14ac:dyDescent="0.2">
      <c r="A15" s="198" t="s">
        <v>14</v>
      </c>
      <c r="B15" s="199" t="s">
        <v>137</v>
      </c>
      <c r="C15" s="200">
        <v>45287815.280000001</v>
      </c>
      <c r="D15" s="375">
        <v>1142715.32</v>
      </c>
      <c r="E15" s="201">
        <f t="shared" si="0"/>
        <v>44145099.960000001</v>
      </c>
      <c r="F15" s="412">
        <v>27853553.239999998</v>
      </c>
      <c r="G15" s="320">
        <f t="shared" si="1"/>
        <v>0.36904541466123802</v>
      </c>
      <c r="H15" s="202"/>
    </row>
    <row r="16" spans="1:8" x14ac:dyDescent="0.2">
      <c r="A16" s="198" t="s">
        <v>16</v>
      </c>
      <c r="B16" s="199" t="s">
        <v>17</v>
      </c>
      <c r="C16" s="200">
        <v>38733978.82</v>
      </c>
      <c r="D16" s="375">
        <v>3673421.99</v>
      </c>
      <c r="E16" s="201">
        <f t="shared" si="0"/>
        <v>35060556.829999998</v>
      </c>
      <c r="F16" s="412">
        <v>21335751.149999999</v>
      </c>
      <c r="G16" s="320">
        <f t="shared" si="1"/>
        <v>0.39146000294713518</v>
      </c>
      <c r="H16" s="202"/>
    </row>
    <row r="17" spans="1:8" x14ac:dyDescent="0.2">
      <c r="A17" s="198" t="s">
        <v>18</v>
      </c>
      <c r="B17" s="199" t="s">
        <v>138</v>
      </c>
      <c r="C17" s="200">
        <v>90053032.239999995</v>
      </c>
      <c r="D17" s="375">
        <v>1468290.03</v>
      </c>
      <c r="E17" s="201">
        <f t="shared" si="0"/>
        <v>88584742.209999993</v>
      </c>
      <c r="F17" s="412">
        <v>42294390.240000002</v>
      </c>
      <c r="G17" s="320">
        <f t="shared" si="1"/>
        <v>0.52255445819623836</v>
      </c>
      <c r="H17" s="202"/>
    </row>
    <row r="18" spans="1:8" x14ac:dyDescent="0.2">
      <c r="A18" s="198" t="s">
        <v>19</v>
      </c>
      <c r="B18" s="199" t="s">
        <v>20</v>
      </c>
      <c r="C18" s="200">
        <v>56652725.950000003</v>
      </c>
      <c r="D18" s="375">
        <v>275603.15999999997</v>
      </c>
      <c r="E18" s="201">
        <f t="shared" si="0"/>
        <v>56377122.790000007</v>
      </c>
      <c r="F18" s="412">
        <v>31402357.039999999</v>
      </c>
      <c r="G18" s="320">
        <f t="shared" si="1"/>
        <v>0.44299468497228722</v>
      </c>
      <c r="H18" s="202"/>
    </row>
    <row r="19" spans="1:8" x14ac:dyDescent="0.2">
      <c r="A19" s="205" t="s">
        <v>116</v>
      </c>
      <c r="B19" s="199" t="s">
        <v>293</v>
      </c>
      <c r="C19" s="200">
        <v>41826113.399999999</v>
      </c>
      <c r="D19" s="375">
        <v>670313.18999999994</v>
      </c>
      <c r="E19" s="201">
        <f>C19-D19</f>
        <v>41155800.210000001</v>
      </c>
      <c r="F19" s="412">
        <v>25563756.289999999</v>
      </c>
      <c r="G19" s="320">
        <f>(E19-F19)/E19</f>
        <v>0.37885410660078628</v>
      </c>
      <c r="H19" s="202"/>
    </row>
    <row r="20" spans="1:8" x14ac:dyDescent="0.2">
      <c r="A20" s="198" t="s">
        <v>21</v>
      </c>
      <c r="B20" s="204" t="s">
        <v>174</v>
      </c>
      <c r="C20" s="200">
        <v>18890460.969999999</v>
      </c>
      <c r="D20" s="375">
        <v>529905.42000000004</v>
      </c>
      <c r="E20" s="201">
        <f t="shared" si="0"/>
        <v>18360555.549999997</v>
      </c>
      <c r="F20" s="412">
        <v>11151721.82</v>
      </c>
      <c r="G20" s="320">
        <f>(E20-F20)/E20</f>
        <v>0.3926261223615316</v>
      </c>
      <c r="H20" s="202"/>
    </row>
    <row r="21" spans="1:8" x14ac:dyDescent="0.2">
      <c r="A21" s="205" t="s">
        <v>108</v>
      </c>
      <c r="B21" s="199" t="s">
        <v>139</v>
      </c>
      <c r="C21" s="200">
        <v>45371642.210000001</v>
      </c>
      <c r="D21" s="375">
        <v>643257.06000000006</v>
      </c>
      <c r="E21" s="201">
        <f>C21-D21</f>
        <v>44728385.149999999</v>
      </c>
      <c r="F21" s="412">
        <v>26716664.66</v>
      </c>
      <c r="G21" s="320">
        <f t="shared" si="1"/>
        <v>0.402691052440108</v>
      </c>
      <c r="H21" s="202"/>
    </row>
    <row r="22" spans="1:8" x14ac:dyDescent="0.2">
      <c r="A22" s="198" t="s">
        <v>26</v>
      </c>
      <c r="B22" s="199" t="s">
        <v>62</v>
      </c>
      <c r="C22" s="200">
        <v>80016764.189999998</v>
      </c>
      <c r="D22" s="375">
        <v>486989.94</v>
      </c>
      <c r="E22" s="201">
        <f t="shared" si="0"/>
        <v>79529774.25</v>
      </c>
      <c r="F22" s="412">
        <v>36658658.590000004</v>
      </c>
      <c r="G22" s="320">
        <f t="shared" si="1"/>
        <v>0.5390574292998197</v>
      </c>
      <c r="H22" s="202"/>
    </row>
    <row r="23" spans="1:8" x14ac:dyDescent="0.2">
      <c r="A23" s="198" t="s">
        <v>22</v>
      </c>
      <c r="B23" s="199" t="s">
        <v>23</v>
      </c>
      <c r="C23" s="200">
        <v>221979676.19999999</v>
      </c>
      <c r="D23" s="375">
        <v>12002171.59</v>
      </c>
      <c r="E23" s="201">
        <f t="shared" si="0"/>
        <v>209977504.60999998</v>
      </c>
      <c r="F23" s="412">
        <v>76169978.700000003</v>
      </c>
      <c r="G23" s="320">
        <f t="shared" si="1"/>
        <v>0.63724695728014435</v>
      </c>
      <c r="H23" s="202"/>
    </row>
    <row r="24" spans="1:8" x14ac:dyDescent="0.2">
      <c r="A24" s="198" t="s">
        <v>24</v>
      </c>
      <c r="B24" s="199" t="s">
        <v>135</v>
      </c>
      <c r="C24" s="411">
        <v>31002757.100000001</v>
      </c>
      <c r="D24" s="375">
        <v>324185.17</v>
      </c>
      <c r="E24" s="201">
        <f t="shared" si="0"/>
        <v>30678571.93</v>
      </c>
      <c r="F24" s="412">
        <v>18067597.32</v>
      </c>
      <c r="G24" s="320">
        <f t="shared" si="1"/>
        <v>0.41106785018464187</v>
      </c>
      <c r="H24" s="202"/>
    </row>
    <row r="25" spans="1:8" x14ac:dyDescent="0.2">
      <c r="A25" s="198" t="s">
        <v>27</v>
      </c>
      <c r="B25" s="199" t="s">
        <v>130</v>
      </c>
      <c r="C25" s="200">
        <v>77967005.129999995</v>
      </c>
      <c r="D25" s="375">
        <v>155644.07</v>
      </c>
      <c r="E25" s="201">
        <f t="shared" si="0"/>
        <v>77811361.060000002</v>
      </c>
      <c r="F25" s="412">
        <v>38396402.369999997</v>
      </c>
      <c r="G25" s="320">
        <f t="shared" si="1"/>
        <v>0.50654503600839607</v>
      </c>
      <c r="H25" s="202"/>
    </row>
    <row r="26" spans="1:8" x14ac:dyDescent="0.2">
      <c r="A26" s="198" t="s">
        <v>29</v>
      </c>
      <c r="B26" s="199" t="s">
        <v>131</v>
      </c>
      <c r="C26" s="200">
        <v>44519739.700000003</v>
      </c>
      <c r="D26" s="375">
        <v>194088.48</v>
      </c>
      <c r="E26" s="201">
        <f t="shared" si="0"/>
        <v>44325651.220000006</v>
      </c>
      <c r="F26" s="412">
        <v>25621411.629999999</v>
      </c>
      <c r="G26" s="320">
        <f t="shared" si="1"/>
        <v>0.42197326097175397</v>
      </c>
      <c r="H26" s="202"/>
    </row>
    <row r="27" spans="1:8" ht="13.5" customHeight="1" x14ac:dyDescent="0.2">
      <c r="A27" s="206" t="s">
        <v>109</v>
      </c>
      <c r="B27" s="199" t="s">
        <v>132</v>
      </c>
      <c r="C27" s="200">
        <v>26838621.050000001</v>
      </c>
      <c r="D27" s="375">
        <v>456502.51</v>
      </c>
      <c r="E27" s="201">
        <f t="shared" si="0"/>
        <v>26382118.539999999</v>
      </c>
      <c r="F27" s="412">
        <v>16657189.83</v>
      </c>
      <c r="G27" s="320">
        <f t="shared" si="1"/>
        <v>0.36861818717307604</v>
      </c>
      <c r="H27" s="202"/>
    </row>
    <row r="28" spans="1:8" x14ac:dyDescent="0.2">
      <c r="A28" s="198" t="s">
        <v>33</v>
      </c>
      <c r="B28" s="199" t="s">
        <v>128</v>
      </c>
      <c r="C28" s="200">
        <v>11523074.640000001</v>
      </c>
      <c r="D28" s="375">
        <v>196802.87</v>
      </c>
      <c r="E28" s="201">
        <f t="shared" si="0"/>
        <v>11326271.770000001</v>
      </c>
      <c r="F28" s="412">
        <v>7529294.0099999998</v>
      </c>
      <c r="G28" s="320">
        <f>(E28-F28)/E28</f>
        <v>0.33523632816732252</v>
      </c>
      <c r="H28" s="202"/>
    </row>
    <row r="29" spans="1:8" x14ac:dyDescent="0.2">
      <c r="A29" s="198" t="s">
        <v>35</v>
      </c>
      <c r="B29" s="199" t="s">
        <v>36</v>
      </c>
      <c r="C29" s="200">
        <v>34929542.68</v>
      </c>
      <c r="D29" s="375">
        <v>548759.93999999994</v>
      </c>
      <c r="E29" s="201">
        <f t="shared" si="0"/>
        <v>34380782.740000002</v>
      </c>
      <c r="F29" s="412">
        <v>19894690.149999999</v>
      </c>
      <c r="G29" s="320">
        <f t="shared" si="1"/>
        <v>0.4213427221697979</v>
      </c>
      <c r="H29" s="202"/>
    </row>
    <row r="30" spans="1:8" x14ac:dyDescent="0.2">
      <c r="A30" s="198" t="s">
        <v>37</v>
      </c>
      <c r="B30" s="199" t="s">
        <v>129</v>
      </c>
      <c r="C30" s="200">
        <v>30405504.370000001</v>
      </c>
      <c r="D30" s="375">
        <v>1777060.29</v>
      </c>
      <c r="E30" s="201">
        <f t="shared" si="0"/>
        <v>28628444.080000002</v>
      </c>
      <c r="F30" s="412">
        <v>16097849.91</v>
      </c>
      <c r="G30" s="320">
        <f t="shared" si="1"/>
        <v>0.43769735215033734</v>
      </c>
      <c r="H30" s="202"/>
    </row>
    <row r="31" spans="1:8" x14ac:dyDescent="0.2">
      <c r="A31" s="198" t="s">
        <v>39</v>
      </c>
      <c r="B31" s="199" t="s">
        <v>133</v>
      </c>
      <c r="C31" s="200">
        <v>46337453.159999996</v>
      </c>
      <c r="D31" s="375">
        <v>1023826.37</v>
      </c>
      <c r="E31" s="201">
        <f t="shared" si="0"/>
        <v>45313626.789999999</v>
      </c>
      <c r="F31" s="412">
        <v>23965513.27</v>
      </c>
      <c r="G31" s="320">
        <f t="shared" si="1"/>
        <v>0.47111906577098772</v>
      </c>
      <c r="H31" s="202"/>
    </row>
    <row r="32" spans="1:8" x14ac:dyDescent="0.2">
      <c r="A32" s="198" t="s">
        <v>46</v>
      </c>
      <c r="B32" s="199" t="s">
        <v>69</v>
      </c>
      <c r="C32" s="200">
        <v>50141405.920000002</v>
      </c>
      <c r="D32" s="375">
        <v>937812.34</v>
      </c>
      <c r="E32" s="201">
        <f t="shared" si="0"/>
        <v>49203593.579999998</v>
      </c>
      <c r="F32" s="412">
        <v>28108490.16</v>
      </c>
      <c r="G32" s="320">
        <f t="shared" si="1"/>
        <v>0.42873095002098827</v>
      </c>
      <c r="H32" s="202"/>
    </row>
    <row r="33" spans="1:8" x14ac:dyDescent="0.2">
      <c r="A33" s="198" t="s">
        <v>41</v>
      </c>
      <c r="B33" s="199" t="s">
        <v>115</v>
      </c>
      <c r="C33" s="200">
        <v>30336340.530000001</v>
      </c>
      <c r="D33" s="375">
        <v>555301.48</v>
      </c>
      <c r="E33" s="201">
        <f>C33-D33</f>
        <v>29781039.050000001</v>
      </c>
      <c r="F33" s="412">
        <v>17999209.940000001</v>
      </c>
      <c r="G33" s="320">
        <f t="shared" si="1"/>
        <v>0.39561511236123237</v>
      </c>
      <c r="H33" s="202"/>
    </row>
    <row r="34" spans="1:8" x14ac:dyDescent="0.2">
      <c r="A34" s="198" t="s">
        <v>42</v>
      </c>
      <c r="B34" s="199" t="s">
        <v>68</v>
      </c>
      <c r="C34" s="200">
        <v>50441640.850000001</v>
      </c>
      <c r="D34" s="375">
        <v>747342.84</v>
      </c>
      <c r="E34" s="201">
        <f t="shared" si="0"/>
        <v>49694298.009999998</v>
      </c>
      <c r="F34" s="412">
        <v>25040050.77</v>
      </c>
      <c r="G34" s="320">
        <f t="shared" si="1"/>
        <v>0.49611823141236078</v>
      </c>
      <c r="H34" s="202"/>
    </row>
    <row r="35" spans="1:8" x14ac:dyDescent="0.2">
      <c r="A35" s="198" t="s">
        <v>43</v>
      </c>
      <c r="B35" s="199" t="s">
        <v>44</v>
      </c>
      <c r="C35" s="200">
        <v>147127642.46000001</v>
      </c>
      <c r="D35" s="375">
        <v>2022861.52</v>
      </c>
      <c r="E35" s="201">
        <f t="shared" si="0"/>
        <v>145104780.94</v>
      </c>
      <c r="F35" s="412">
        <v>70837734.109999999</v>
      </c>
      <c r="G35" s="320">
        <f t="shared" si="1"/>
        <v>0.51181667722381252</v>
      </c>
      <c r="H35" s="202"/>
    </row>
    <row r="36" spans="1:8" x14ac:dyDescent="0.2">
      <c r="A36" s="198" t="s">
        <v>45</v>
      </c>
      <c r="B36" s="199" t="s">
        <v>134</v>
      </c>
      <c r="C36" s="200">
        <v>39044944.810000002</v>
      </c>
      <c r="D36" s="375">
        <v>337388.25</v>
      </c>
      <c r="E36" s="201">
        <f t="shared" si="0"/>
        <v>38707556.560000002</v>
      </c>
      <c r="F36" s="412">
        <v>20950804.420000002</v>
      </c>
      <c r="G36" s="320">
        <f t="shared" si="1"/>
        <v>0.4587412308621322</v>
      </c>
      <c r="H36" s="202"/>
    </row>
    <row r="37" spans="1:8" x14ac:dyDescent="0.2">
      <c r="A37" s="198" t="s">
        <v>47</v>
      </c>
      <c r="B37" s="199" t="s">
        <v>48</v>
      </c>
      <c r="C37" s="200">
        <v>104591759.66</v>
      </c>
      <c r="D37" s="375">
        <v>973630.93</v>
      </c>
      <c r="E37" s="201">
        <f t="shared" si="0"/>
        <v>103618128.72999999</v>
      </c>
      <c r="F37" s="412">
        <v>48202783.149999999</v>
      </c>
      <c r="G37" s="320">
        <f t="shared" si="1"/>
        <v>0.53480357403864109</v>
      </c>
      <c r="H37" s="202"/>
    </row>
    <row r="38" spans="1:8" x14ac:dyDescent="0.2">
      <c r="C38" s="207"/>
      <c r="D38" s="208"/>
      <c r="E38" s="208"/>
      <c r="F38" s="209"/>
      <c r="G38" s="202"/>
      <c r="H38" s="202"/>
    </row>
    <row r="39" spans="1:8" x14ac:dyDescent="0.2">
      <c r="B39" s="177" t="s">
        <v>49</v>
      </c>
      <c r="C39" s="207">
        <f>SUM(C8:C38)</f>
        <v>1718482882.4400003</v>
      </c>
      <c r="D39" s="208">
        <f>SUM(D8:D38)</f>
        <v>36818688.300000012</v>
      </c>
      <c r="E39" s="208">
        <f>SUM(E8:E38)</f>
        <v>1681664194.1399996</v>
      </c>
      <c r="F39" s="208">
        <f>SUM(F8:F38)</f>
        <v>864936532.63</v>
      </c>
      <c r="G39" s="202">
        <f>(E39-F39)/E39</f>
        <v>0.48566632051512093</v>
      </c>
      <c r="H39" s="202"/>
    </row>
    <row r="40" spans="1:8" x14ac:dyDescent="0.2">
      <c r="A40" s="210" t="s">
        <v>123</v>
      </c>
      <c r="C40" s="207"/>
      <c r="D40" s="208"/>
      <c r="E40" s="208"/>
      <c r="F40" s="209"/>
      <c r="H40" s="202"/>
    </row>
    <row r="41" spans="1:8" x14ac:dyDescent="0.2">
      <c r="A41" s="210"/>
      <c r="C41" s="207"/>
      <c r="D41" s="208"/>
      <c r="E41" s="208"/>
      <c r="F41" s="209"/>
      <c r="H41" s="202"/>
    </row>
    <row r="42" spans="1:8" x14ac:dyDescent="0.2">
      <c r="A42" s="15" t="s">
        <v>301</v>
      </c>
      <c r="C42" s="207"/>
      <c r="D42" s="208"/>
      <c r="E42" s="208"/>
      <c r="F42" s="209"/>
      <c r="G42" s="202"/>
      <c r="H42" s="202"/>
    </row>
    <row r="43" spans="1:8" x14ac:dyDescent="0.2">
      <c r="A43" s="15"/>
      <c r="C43" s="207"/>
      <c r="D43" s="208"/>
      <c r="E43" s="208"/>
      <c r="F43" s="209"/>
      <c r="G43" s="202"/>
      <c r="H43" s="202"/>
    </row>
    <row r="44" spans="1:8" x14ac:dyDescent="0.2">
      <c r="A44" s="211"/>
      <c r="C44" s="207"/>
      <c r="D44" s="208"/>
      <c r="E44" s="208"/>
      <c r="F44" s="209"/>
      <c r="G44" s="202"/>
      <c r="H44" s="202"/>
    </row>
    <row r="45" spans="1:8" x14ac:dyDescent="0.2">
      <c r="C45" s="207"/>
      <c r="D45" s="207"/>
      <c r="E45" s="207"/>
      <c r="F45" s="209"/>
      <c r="G45" s="202"/>
      <c r="H45" s="202"/>
    </row>
    <row r="46" spans="1:8" x14ac:dyDescent="0.2">
      <c r="C46" s="207"/>
      <c r="D46" s="208"/>
      <c r="E46" s="208"/>
      <c r="F46" s="209"/>
      <c r="G46" s="202"/>
      <c r="H46" s="202"/>
    </row>
    <row r="47" spans="1:8" x14ac:dyDescent="0.2">
      <c r="C47" s="207"/>
      <c r="D47" s="208"/>
      <c r="E47" s="208"/>
      <c r="F47" s="209"/>
      <c r="G47" s="202"/>
      <c r="H47" s="202"/>
    </row>
  </sheetData>
  <pageMargins left="0.7" right="0.7" top="0.75" bottom="0.75" header="0.3" footer="0.3"/>
  <pageSetup scale="9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C15"/>
  <sheetViews>
    <sheetView workbookViewId="0">
      <selection activeCell="A35" sqref="A35"/>
    </sheetView>
  </sheetViews>
  <sheetFormatPr defaultRowHeight="12.75" x14ac:dyDescent="0.2"/>
  <cols>
    <col min="1" max="1" width="35.42578125" bestFit="1" customWidth="1"/>
    <col min="2" max="2" width="10.28515625" bestFit="1" customWidth="1"/>
    <col min="3" max="3" width="9.140625" style="315"/>
  </cols>
  <sheetData>
    <row r="2" spans="1:3" x14ac:dyDescent="0.2">
      <c r="A2" s="125" t="s">
        <v>248</v>
      </c>
    </row>
    <row r="4" spans="1:3" ht="38.25" x14ac:dyDescent="0.2">
      <c r="B4" s="213" t="s">
        <v>252</v>
      </c>
      <c r="C4" s="317" t="s">
        <v>253</v>
      </c>
    </row>
    <row r="5" spans="1:3" x14ac:dyDescent="0.2">
      <c r="A5" s="312" t="s">
        <v>205</v>
      </c>
      <c r="B5" s="11">
        <f>Summary!R42</f>
        <v>0</v>
      </c>
      <c r="C5" s="316">
        <f>Summary!S42</f>
        <v>0</v>
      </c>
    </row>
    <row r="6" spans="1:3" x14ac:dyDescent="0.2">
      <c r="A6" s="312" t="s">
        <v>198</v>
      </c>
      <c r="B6" s="11">
        <f>Summary!R43</f>
        <v>0</v>
      </c>
      <c r="C6" s="316">
        <f>Summary!S43</f>
        <v>0</v>
      </c>
    </row>
    <row r="7" spans="1:3" x14ac:dyDescent="0.2">
      <c r="A7" s="312"/>
    </row>
    <row r="8" spans="1:3" s="310" customFormat="1" x14ac:dyDescent="0.2">
      <c r="A8" s="311" t="s">
        <v>246</v>
      </c>
      <c r="B8" s="314">
        <f>Summary!R44</f>
        <v>0</v>
      </c>
      <c r="C8" s="316">
        <f>Summary!S44</f>
        <v>0</v>
      </c>
    </row>
    <row r="9" spans="1:3" x14ac:dyDescent="0.2">
      <c r="A9" s="312" t="s">
        <v>247</v>
      </c>
      <c r="B9" s="314">
        <f>Summary!R45</f>
        <v>0</v>
      </c>
      <c r="C9" s="316">
        <f>Summary!S45</f>
        <v>0</v>
      </c>
    </row>
    <row r="10" spans="1:3" x14ac:dyDescent="0.2">
      <c r="A10" s="312"/>
    </row>
    <row r="11" spans="1:3" x14ac:dyDescent="0.2">
      <c r="A11" s="313" t="s">
        <v>249</v>
      </c>
      <c r="B11" s="11">
        <f>Summary!R46</f>
        <v>0</v>
      </c>
      <c r="C11" s="316">
        <f>Summary!S46</f>
        <v>0</v>
      </c>
    </row>
    <row r="12" spans="1:3" x14ac:dyDescent="0.2">
      <c r="A12" s="313" t="s">
        <v>250</v>
      </c>
      <c r="B12" s="11">
        <f>Summary!R47</f>
        <v>0</v>
      </c>
      <c r="C12" s="316">
        <f>Summary!S47</f>
        <v>0</v>
      </c>
    </row>
    <row r="15" spans="1:3" x14ac:dyDescent="0.2">
      <c r="A15" s="125" t="s">
        <v>251</v>
      </c>
      <c r="B15" s="11">
        <f>Summary!R40</f>
        <v>0</v>
      </c>
      <c r="C15" s="316">
        <f>B15/Summary!O41</f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Y58"/>
  <sheetViews>
    <sheetView tabSelected="1" zoomScale="90" zoomScaleNormal="90" workbookViewId="0">
      <pane xSplit="3" ySplit="5" topLeftCell="H6" activePane="bottomRight" state="frozen"/>
      <selection activeCell="D23" sqref="D23"/>
      <selection pane="topRight" activeCell="D23" sqref="D23"/>
      <selection pane="bottomLeft" activeCell="D23" sqref="D23"/>
      <selection pane="bottomRight" activeCell="Z6" sqref="Z6"/>
    </sheetView>
  </sheetViews>
  <sheetFormatPr defaultRowHeight="12.75" x14ac:dyDescent="0.2"/>
  <cols>
    <col min="1" max="1" width="4.7109375" hidden="1" customWidth="1"/>
    <col min="2" max="2" width="6.85546875" customWidth="1"/>
    <col min="3" max="3" width="32.140625" bestFit="1" customWidth="1"/>
    <col min="4" max="4" width="8" customWidth="1"/>
    <col min="5" max="5" width="12.85546875" customWidth="1"/>
    <col min="6" max="6" width="13.85546875" customWidth="1"/>
    <col min="7" max="7" width="10.7109375" customWidth="1"/>
    <col min="8" max="8" width="10.5703125" customWidth="1"/>
    <col min="9" max="9" width="15.5703125" style="125" customWidth="1"/>
    <col min="10" max="10" width="17" bestFit="1" customWidth="1"/>
    <col min="11" max="11" width="12.5703125" style="6" customWidth="1"/>
    <col min="12" max="12" width="13.140625" style="55" bestFit="1" customWidth="1"/>
    <col min="13" max="13" width="9" style="40" customWidth="1"/>
    <col min="14" max="14" width="12.5703125" customWidth="1"/>
    <col min="15" max="15" width="13.42578125" customWidth="1"/>
    <col min="16" max="16" width="16.85546875" bestFit="1" customWidth="1"/>
    <col min="17" max="17" width="16.85546875" style="6" bestFit="1" customWidth="1"/>
    <col min="18" max="18" width="14.85546875" bestFit="1" customWidth="1"/>
    <col min="19" max="19" width="8.28515625" customWidth="1"/>
    <col min="20" max="20" width="2.7109375" customWidth="1"/>
    <col min="21" max="21" width="13.42578125" customWidth="1"/>
    <col min="22" max="22" width="14.5703125" style="22" customWidth="1"/>
    <col min="23" max="23" width="13.42578125" customWidth="1"/>
    <col min="24" max="24" width="2.85546875" customWidth="1"/>
    <col min="26" max="26" width="9.140625" customWidth="1"/>
  </cols>
  <sheetData>
    <row r="1" spans="1:25" ht="15.75" x14ac:dyDescent="0.25">
      <c r="A1" s="19"/>
      <c r="B1" s="36"/>
      <c r="D1" s="33"/>
      <c r="E1" s="19"/>
      <c r="F1" s="19"/>
      <c r="G1" s="19"/>
      <c r="H1" s="19"/>
      <c r="I1" s="44"/>
      <c r="J1" s="344"/>
      <c r="K1" s="20"/>
      <c r="L1" s="53"/>
      <c r="M1" s="45"/>
      <c r="P1" s="11"/>
      <c r="R1" s="350"/>
      <c r="V1" s="393"/>
      <c r="W1" s="350"/>
    </row>
    <row r="2" spans="1:25" ht="16.5" customHeight="1" x14ac:dyDescent="0.2">
      <c r="A2" s="19"/>
      <c r="B2" s="19"/>
      <c r="C2" s="19"/>
      <c r="D2" s="19"/>
      <c r="E2" s="19"/>
      <c r="F2" s="19"/>
      <c r="G2" s="19"/>
      <c r="H2" s="19"/>
      <c r="I2" s="44"/>
      <c r="J2" s="24" t="s">
        <v>145</v>
      </c>
      <c r="K2" s="23" t="s">
        <v>146</v>
      </c>
      <c r="L2" s="53"/>
      <c r="M2" s="41" t="s">
        <v>147</v>
      </c>
      <c r="N2" s="72" t="s">
        <v>148</v>
      </c>
      <c r="O2" s="72" t="s">
        <v>151</v>
      </c>
      <c r="P2" s="24" t="s">
        <v>150</v>
      </c>
      <c r="Q2" s="23" t="s">
        <v>152</v>
      </c>
      <c r="R2" s="24" t="s">
        <v>153</v>
      </c>
      <c r="S2" s="24" t="s">
        <v>154</v>
      </c>
      <c r="U2" s="19"/>
      <c r="V2" s="164"/>
      <c r="W2" s="19"/>
    </row>
    <row r="3" spans="1:25" ht="21" customHeight="1" x14ac:dyDescent="0.2">
      <c r="A3" s="26"/>
      <c r="B3" s="4"/>
      <c r="C3" s="4"/>
      <c r="D3" s="136"/>
      <c r="E3" s="14" t="s">
        <v>52</v>
      </c>
      <c r="F3" s="14" t="s">
        <v>53</v>
      </c>
      <c r="G3" s="14" t="s">
        <v>55</v>
      </c>
      <c r="H3" s="14" t="s">
        <v>54</v>
      </c>
      <c r="I3" s="14" t="s">
        <v>56</v>
      </c>
      <c r="J3" s="14" t="s">
        <v>57</v>
      </c>
      <c r="K3" s="21" t="s">
        <v>58</v>
      </c>
      <c r="L3" s="54" t="s">
        <v>59</v>
      </c>
      <c r="M3" s="42" t="s">
        <v>51</v>
      </c>
      <c r="N3" s="14" t="s">
        <v>118</v>
      </c>
      <c r="O3" s="14" t="s">
        <v>60</v>
      </c>
      <c r="P3" s="14" t="s">
        <v>149</v>
      </c>
      <c r="Q3" s="21" t="s">
        <v>61</v>
      </c>
      <c r="R3" s="14" t="s">
        <v>64</v>
      </c>
      <c r="S3" s="44" t="s">
        <v>65</v>
      </c>
      <c r="U3" s="44" t="s">
        <v>113</v>
      </c>
      <c r="V3" s="44" t="s">
        <v>136</v>
      </c>
      <c r="W3" s="44" t="s">
        <v>259</v>
      </c>
    </row>
    <row r="4" spans="1:25" ht="92.25" customHeight="1" x14ac:dyDescent="0.2">
      <c r="B4" s="1" t="s">
        <v>0</v>
      </c>
      <c r="C4" s="112" t="s">
        <v>1</v>
      </c>
      <c r="D4" s="137" t="s">
        <v>302</v>
      </c>
      <c r="E4" s="13" t="s">
        <v>254</v>
      </c>
      <c r="F4" s="13" t="s">
        <v>257</v>
      </c>
      <c r="G4" s="13" t="s">
        <v>255</v>
      </c>
      <c r="H4" s="426" t="s">
        <v>256</v>
      </c>
      <c r="I4" s="13" t="s">
        <v>258</v>
      </c>
      <c r="J4" s="13" t="s">
        <v>309</v>
      </c>
      <c r="K4" s="18" t="s">
        <v>308</v>
      </c>
      <c r="L4" s="84" t="s">
        <v>289</v>
      </c>
      <c r="M4" s="37" t="s">
        <v>290</v>
      </c>
      <c r="N4" s="150" t="s">
        <v>310</v>
      </c>
      <c r="O4" s="13" t="s">
        <v>311</v>
      </c>
      <c r="P4" s="49" t="s">
        <v>312</v>
      </c>
      <c r="Q4" s="37" t="s">
        <v>313</v>
      </c>
      <c r="R4" s="28" t="s">
        <v>314</v>
      </c>
      <c r="S4" s="28" t="s">
        <v>315</v>
      </c>
      <c r="U4" s="134" t="s">
        <v>323</v>
      </c>
      <c r="V4" s="362" t="s">
        <v>322</v>
      </c>
      <c r="W4" s="321" t="s">
        <v>263</v>
      </c>
    </row>
    <row r="5" spans="1:25" x14ac:dyDescent="0.2">
      <c r="B5" s="2"/>
      <c r="C5" s="98"/>
      <c r="D5" s="138"/>
      <c r="N5" s="16"/>
      <c r="O5" s="16"/>
      <c r="P5" s="50"/>
      <c r="Q5" s="38"/>
      <c r="R5" s="25"/>
      <c r="U5" s="135"/>
      <c r="V5" s="318"/>
      <c r="W5" s="322"/>
    </row>
    <row r="6" spans="1:25" x14ac:dyDescent="0.2">
      <c r="A6">
        <v>1</v>
      </c>
      <c r="B6" s="10" t="s">
        <v>2</v>
      </c>
      <c r="C6" s="3" t="s">
        <v>126</v>
      </c>
      <c r="D6" s="416">
        <v>1927</v>
      </c>
      <c r="E6" s="8">
        <f>Instruction!M8</f>
        <v>8229149</v>
      </c>
      <c r="F6" s="8">
        <f>'Student&amp;Institutional Support'!S9</f>
        <v>6299741.0795391165</v>
      </c>
      <c r="G6" s="8">
        <f>Facilities!H9</f>
        <v>1375837.6603822091</v>
      </c>
      <c r="H6" s="8">
        <f>'Student Success'!E7</f>
        <v>266910.7085137532</v>
      </c>
      <c r="I6" s="379">
        <f>Research!H9</f>
        <v>8662.5603037034998</v>
      </c>
      <c r="J6" s="8">
        <f t="shared" ref="J6:J35" si="0">SUM(E6:I6)</f>
        <v>16180301.008738782</v>
      </c>
      <c r="K6" s="9">
        <f t="shared" ref="K6:K35" si="1">+J6/$J$37</f>
        <v>1.923565307097853E-2</v>
      </c>
      <c r="L6" s="56">
        <v>12177122.836477645</v>
      </c>
      <c r="M6" s="46">
        <v>1.8364909438017156E-2</v>
      </c>
      <c r="N6" s="17">
        <f t="shared" ref="N6:N35" si="2">M6*$O$39</f>
        <v>5881956.1870611291</v>
      </c>
      <c r="O6" s="17">
        <f t="shared" ref="O6:O35" si="3">K6*$O$39</f>
        <v>6160839.9962368431</v>
      </c>
      <c r="P6" s="51">
        <f>N6+O6</f>
        <v>12042796.183297973</v>
      </c>
      <c r="Q6" s="39">
        <f t="shared" ref="Q6:Q35" si="4">P6/$P$37</f>
        <v>1.8800281254497852E-2</v>
      </c>
      <c r="R6" s="35">
        <f>P6-L6</f>
        <v>-134326.65317967162</v>
      </c>
      <c r="S6" s="43">
        <f t="shared" ref="S6:S35" si="5">R6/L6</f>
        <v>-1.1031066614297778E-2</v>
      </c>
      <c r="U6" s="162">
        <v>1827115.1565868382</v>
      </c>
      <c r="V6" s="352">
        <v>165410</v>
      </c>
      <c r="W6" s="323">
        <f>158333.33</f>
        <v>158333.32999999999</v>
      </c>
      <c r="Y6" s="6"/>
    </row>
    <row r="7" spans="1:25" x14ac:dyDescent="0.2">
      <c r="A7">
        <v>2</v>
      </c>
      <c r="B7" s="10" t="s">
        <v>4</v>
      </c>
      <c r="C7" s="3" t="s">
        <v>122</v>
      </c>
      <c r="D7" s="416">
        <v>5994</v>
      </c>
      <c r="E7" s="8">
        <f>Instruction!M9</f>
        <v>22752649.5</v>
      </c>
      <c r="F7" s="8">
        <f>'Student&amp;Institutional Support'!S10</f>
        <v>14776241.875853352</v>
      </c>
      <c r="G7" s="8">
        <f>Facilities!H10</f>
        <v>2311675.0023078704</v>
      </c>
      <c r="H7" s="8">
        <f>'Student Success'!E8</f>
        <v>388051.92677016091</v>
      </c>
      <c r="I7" s="379">
        <f>Research!H10</f>
        <v>22741.000146019571</v>
      </c>
      <c r="J7" s="8">
        <f>SUM(E7:I7)</f>
        <v>40251359.305077396</v>
      </c>
      <c r="K7" s="9">
        <f t="shared" si="1"/>
        <v>4.7852087721334931E-2</v>
      </c>
      <c r="L7" s="8">
        <v>31828591.560773484</v>
      </c>
      <c r="M7" s="46">
        <v>4.8002242352539422E-2</v>
      </c>
      <c r="N7" s="17">
        <f t="shared" si="2"/>
        <v>15374270.553920673</v>
      </c>
      <c r="O7" s="17">
        <f t="shared" si="3"/>
        <v>15326178.677126506</v>
      </c>
      <c r="P7" s="51">
        <f t="shared" ref="P7:P33" si="6">N7+O7</f>
        <v>30700449.23104718</v>
      </c>
      <c r="Q7" s="108">
        <f t="shared" si="4"/>
        <v>4.792716503693719E-2</v>
      </c>
      <c r="R7" s="35">
        <f t="shared" ref="R7:R35" si="7">P7-L7</f>
        <v>-1128142.3297263049</v>
      </c>
      <c r="S7" s="109">
        <f t="shared" si="5"/>
        <v>-3.5444305714006571E-2</v>
      </c>
      <c r="U7" s="162">
        <v>5415773.8513790024</v>
      </c>
      <c r="V7" s="352">
        <f>443237+142951</f>
        <v>586188</v>
      </c>
      <c r="W7" s="323">
        <f t="shared" ref="W7:W8" si="8">158333.33</f>
        <v>158333.32999999999</v>
      </c>
      <c r="Y7" s="6"/>
    </row>
    <row r="8" spans="1:25" ht="12" customHeight="1" x14ac:dyDescent="0.2">
      <c r="A8">
        <v>4</v>
      </c>
      <c r="B8" s="10" t="s">
        <v>5</v>
      </c>
      <c r="C8" s="3" t="s">
        <v>112</v>
      </c>
      <c r="D8" s="416">
        <v>3764</v>
      </c>
      <c r="E8" s="8">
        <f>Instruction!M10</f>
        <v>17286101.784862019</v>
      </c>
      <c r="F8" s="8">
        <f>'Student&amp;Institutional Support'!S11</f>
        <v>13221128.450954005</v>
      </c>
      <c r="G8" s="8">
        <f>Facilities!H11</f>
        <v>2387130.7165671252</v>
      </c>
      <c r="H8" s="8">
        <f>'Student Success'!E9</f>
        <v>48000</v>
      </c>
      <c r="I8" s="379">
        <f>Research!H11</f>
        <v>31535.97396915119</v>
      </c>
      <c r="J8" s="8">
        <f t="shared" si="0"/>
        <v>32973896.9263523</v>
      </c>
      <c r="K8" s="9">
        <f t="shared" si="1"/>
        <v>3.9200410507255354E-2</v>
      </c>
      <c r="L8" s="56">
        <v>25719826.525276102</v>
      </c>
      <c r="M8" s="46">
        <v>3.8789317578637225E-2</v>
      </c>
      <c r="N8" s="17">
        <f t="shared" si="2"/>
        <v>12423533.439878382</v>
      </c>
      <c r="O8" s="17">
        <f t="shared" si="3"/>
        <v>12555199.245424742</v>
      </c>
      <c r="P8" s="51">
        <f t="shared" si="6"/>
        <v>24978732.685303122</v>
      </c>
      <c r="Q8" s="39">
        <f t="shared" si="4"/>
        <v>3.8994864042946303E-2</v>
      </c>
      <c r="R8" s="35">
        <f t="shared" si="7"/>
        <v>-741093.83997298032</v>
      </c>
      <c r="S8" s="43">
        <f t="shared" si="5"/>
        <v>-2.8814107250866253E-2</v>
      </c>
      <c r="U8" s="162">
        <v>3362557.5484027825</v>
      </c>
      <c r="V8" s="352">
        <f>215108+70287</f>
        <v>285395</v>
      </c>
      <c r="W8" s="323">
        <f t="shared" si="8"/>
        <v>158333.32999999999</v>
      </c>
      <c r="Y8" s="6"/>
    </row>
    <row r="9" spans="1:25" x14ac:dyDescent="0.2">
      <c r="A9">
        <v>3</v>
      </c>
      <c r="B9" s="34" t="s">
        <v>6</v>
      </c>
      <c r="C9" s="3" t="s">
        <v>7</v>
      </c>
      <c r="D9" s="416">
        <v>2537</v>
      </c>
      <c r="E9" s="8">
        <f>Instruction!M11</f>
        <v>9968749.5</v>
      </c>
      <c r="F9" s="8">
        <f>'Student&amp;Institutional Support'!S12</f>
        <v>7998656.6210332271</v>
      </c>
      <c r="G9" s="8">
        <f>Facilities!H12</f>
        <v>1867474.6946738218</v>
      </c>
      <c r="H9" s="8">
        <f>'Student Success'!E10</f>
        <v>22665.029116643607</v>
      </c>
      <c r="I9" s="379">
        <f>Research!H12</f>
        <v>0</v>
      </c>
      <c r="J9" s="8">
        <f t="shared" si="0"/>
        <v>19857545.844823696</v>
      </c>
      <c r="K9" s="9">
        <f t="shared" si="1"/>
        <v>2.3607277918116665E-2</v>
      </c>
      <c r="L9" s="56">
        <v>15667896.331618175</v>
      </c>
      <c r="M9" s="46">
        <v>2.3629514219275179E-2</v>
      </c>
      <c r="N9" s="17">
        <f t="shared" si="2"/>
        <v>7568116.1308422415</v>
      </c>
      <c r="O9" s="17">
        <f t="shared" si="3"/>
        <v>7560994.2362520117</v>
      </c>
      <c r="P9" s="51">
        <f t="shared" si="6"/>
        <v>15129110.367094252</v>
      </c>
      <c r="Q9" s="39">
        <f t="shared" si="4"/>
        <v>2.3618396068695927E-2</v>
      </c>
      <c r="R9" s="35">
        <f t="shared" si="7"/>
        <v>-538785.96452392265</v>
      </c>
      <c r="S9" s="43">
        <f t="shared" si="5"/>
        <v>-3.4387894400133359E-2</v>
      </c>
      <c r="U9" s="162">
        <v>1857629.7991047145</v>
      </c>
      <c r="V9" s="352">
        <v>240216</v>
      </c>
      <c r="W9" s="323">
        <f>158333.33*2</f>
        <v>316666.65999999997</v>
      </c>
      <c r="Y9" s="6"/>
    </row>
    <row r="10" spans="1:25" x14ac:dyDescent="0.2">
      <c r="A10">
        <v>3</v>
      </c>
      <c r="B10" s="34" t="s">
        <v>8</v>
      </c>
      <c r="C10" s="3" t="s">
        <v>9</v>
      </c>
      <c r="D10" s="416">
        <v>5545</v>
      </c>
      <c r="E10" s="8">
        <f>Instruction!M12</f>
        <v>20807052.5</v>
      </c>
      <c r="F10" s="8">
        <f>'Student&amp;Institutional Support'!S13</f>
        <v>13502452.241319779</v>
      </c>
      <c r="G10" s="8">
        <f>Facilities!H13</f>
        <v>1982706.6286412035</v>
      </c>
      <c r="H10" s="8">
        <f>'Student Success'!E11</f>
        <v>152000</v>
      </c>
      <c r="I10" s="379">
        <f>Research!H13</f>
        <v>24296.142766142231</v>
      </c>
      <c r="J10" s="8">
        <f t="shared" si="0"/>
        <v>36468507.512727119</v>
      </c>
      <c r="K10" s="9">
        <f t="shared" si="1"/>
        <v>4.3354913987837675E-2</v>
      </c>
      <c r="L10" s="56">
        <v>28040112.976994745</v>
      </c>
      <c r="M10" s="46">
        <v>4.2288654090906243E-2</v>
      </c>
      <c r="N10" s="17">
        <f t="shared" si="2"/>
        <v>13544309.129974678</v>
      </c>
      <c r="O10" s="17">
        <f t="shared" si="3"/>
        <v>13885813.345878296</v>
      </c>
      <c r="P10" s="51">
        <f t="shared" si="6"/>
        <v>27430122.475852974</v>
      </c>
      <c r="Q10" s="39">
        <f t="shared" si="4"/>
        <v>4.2821784039371973E-2</v>
      </c>
      <c r="R10" s="35">
        <f t="shared" si="7"/>
        <v>-609990.50114177167</v>
      </c>
      <c r="S10" s="43">
        <f t="shared" si="5"/>
        <v>-2.175420982227257E-2</v>
      </c>
      <c r="U10" s="162">
        <v>5597422.0266125146</v>
      </c>
      <c r="V10" s="352">
        <v>572401</v>
      </c>
      <c r="W10" s="323"/>
      <c r="Y10" s="6"/>
    </row>
    <row r="11" spans="1:25" x14ac:dyDescent="0.2">
      <c r="A11">
        <v>1</v>
      </c>
      <c r="B11" s="34" t="s">
        <v>10</v>
      </c>
      <c r="C11" s="3" t="s">
        <v>144</v>
      </c>
      <c r="D11" s="416">
        <v>4229</v>
      </c>
      <c r="E11" s="8">
        <f>Instruction!M13</f>
        <v>17479859.5</v>
      </c>
      <c r="F11" s="8">
        <f>'Student&amp;Institutional Support'!S14</f>
        <v>11590036.471969435</v>
      </c>
      <c r="G11" s="8">
        <f>Facilities!H14</f>
        <v>2481444.0571615435</v>
      </c>
      <c r="H11" s="8">
        <f>'Student Success'!E12</f>
        <v>488120.24595245067</v>
      </c>
      <c r="I11" s="379">
        <f>Research!H14</f>
        <v>460867.60215652111</v>
      </c>
      <c r="J11" s="8">
        <f t="shared" si="0"/>
        <v>32500327.877239946</v>
      </c>
      <c r="K11" s="9">
        <f t="shared" si="1"/>
        <v>3.86374166588122E-2</v>
      </c>
      <c r="L11" s="8">
        <v>25798297.721762631</v>
      </c>
      <c r="M11" s="46">
        <v>3.8907663795253435E-2</v>
      </c>
      <c r="N11" s="17">
        <f t="shared" si="2"/>
        <v>12461437.643184714</v>
      </c>
      <c r="O11" s="17">
        <f t="shared" si="3"/>
        <v>12374882.257676769</v>
      </c>
      <c r="P11" s="51">
        <f t="shared" si="6"/>
        <v>24836319.900861483</v>
      </c>
      <c r="Q11" s="108">
        <f t="shared" si="4"/>
        <v>3.8772540227032831E-2</v>
      </c>
      <c r="R11" s="32">
        <f t="shared" si="7"/>
        <v>-961977.82090114802</v>
      </c>
      <c r="S11" s="109">
        <f t="shared" si="5"/>
        <v>-3.7288422332208915E-2</v>
      </c>
      <c r="U11" s="428">
        <v>4250625.0075746803</v>
      </c>
      <c r="V11" s="352">
        <f>184895+227289</f>
        <v>412184</v>
      </c>
      <c r="W11" s="324"/>
      <c r="Y11" s="6"/>
    </row>
    <row r="12" spans="1:25" x14ac:dyDescent="0.2">
      <c r="A12">
        <v>2</v>
      </c>
      <c r="B12" s="34" t="s">
        <v>12</v>
      </c>
      <c r="C12" s="3" t="s">
        <v>13</v>
      </c>
      <c r="D12" s="416">
        <v>815</v>
      </c>
      <c r="E12" s="8">
        <f>Instruction!M14</f>
        <v>2635180</v>
      </c>
      <c r="F12" s="8">
        <f>'Student&amp;Institutional Support'!S15</f>
        <v>4845035.5500368634</v>
      </c>
      <c r="G12" s="8">
        <f>Facilities!H15</f>
        <v>533808.1218471257</v>
      </c>
      <c r="H12" s="8">
        <f>'Student Success'!E13</f>
        <v>28000</v>
      </c>
      <c r="I12" s="379">
        <f>Research!H15</f>
        <v>0</v>
      </c>
      <c r="J12" s="8">
        <f t="shared" si="0"/>
        <v>8042023.6718839891</v>
      </c>
      <c r="K12" s="9">
        <f t="shared" si="1"/>
        <v>9.560611836418197E-3</v>
      </c>
      <c r="L12" s="56">
        <v>6217700.4429251524</v>
      </c>
      <c r="M12" s="46">
        <v>9.3772155442976117E-3</v>
      </c>
      <c r="N12" s="17">
        <f t="shared" si="2"/>
        <v>3003356.5465892283</v>
      </c>
      <c r="O12" s="17">
        <f t="shared" si="3"/>
        <v>3062095.1403603293</v>
      </c>
      <c r="P12" s="51">
        <f t="shared" si="6"/>
        <v>6065451.6869495576</v>
      </c>
      <c r="Q12" s="39">
        <f t="shared" si="4"/>
        <v>9.4689136903579087E-3</v>
      </c>
      <c r="R12" s="35">
        <f t="shared" si="7"/>
        <v>-152248.75597559474</v>
      </c>
      <c r="S12" s="43">
        <f t="shared" si="5"/>
        <v>-2.4486344649947218E-2</v>
      </c>
      <c r="U12" s="162">
        <v>461570.71602757799</v>
      </c>
      <c r="V12" s="352">
        <v>86803</v>
      </c>
      <c r="W12" s="323">
        <f>158333.33</f>
        <v>158333.32999999999</v>
      </c>
      <c r="Y12" s="6"/>
    </row>
    <row r="13" spans="1:25" x14ac:dyDescent="0.2">
      <c r="A13">
        <v>1</v>
      </c>
      <c r="B13" s="34" t="s">
        <v>14</v>
      </c>
      <c r="C13" s="3" t="s">
        <v>137</v>
      </c>
      <c r="D13" s="416">
        <v>2691</v>
      </c>
      <c r="E13" s="8">
        <f>Instruction!M15</f>
        <v>13406815.5</v>
      </c>
      <c r="F13" s="8">
        <f>'Student&amp;Institutional Support'!S16</f>
        <v>9370981.4816900734</v>
      </c>
      <c r="G13" s="8">
        <f>Facilities!H16</f>
        <v>2900176.4419637658</v>
      </c>
      <c r="H13" s="8">
        <f>'Student Success'!E14</f>
        <v>95319.587514533167</v>
      </c>
      <c r="I13" s="379">
        <f>Research!H16</f>
        <v>0</v>
      </c>
      <c r="J13" s="8">
        <f t="shared" si="0"/>
        <v>25773293.011168372</v>
      </c>
      <c r="K13" s="9">
        <f t="shared" si="1"/>
        <v>3.0640105063048775E-2</v>
      </c>
      <c r="L13" s="56">
        <v>20702029.989618532</v>
      </c>
      <c r="M13" s="46">
        <v>3.1221735302165488E-2</v>
      </c>
      <c r="N13" s="17">
        <f t="shared" si="2"/>
        <v>9999770.4726599045</v>
      </c>
      <c r="O13" s="17">
        <f t="shared" si="3"/>
        <v>9813484.5780792143</v>
      </c>
      <c r="P13" s="51">
        <f t="shared" si="6"/>
        <v>19813255.050739117</v>
      </c>
      <c r="Q13" s="39">
        <f t="shared" si="4"/>
        <v>3.0930920182607138E-2</v>
      </c>
      <c r="R13" s="35">
        <f t="shared" si="7"/>
        <v>-888774.93887941539</v>
      </c>
      <c r="S13" s="43">
        <f t="shared" si="5"/>
        <v>-4.293177718924715E-2</v>
      </c>
      <c r="U13" s="162">
        <v>2615736.1198337385</v>
      </c>
      <c r="V13" s="352">
        <v>303134</v>
      </c>
      <c r="W13" s="323"/>
      <c r="Y13" s="6"/>
    </row>
    <row r="14" spans="1:25" x14ac:dyDescent="0.2">
      <c r="A14">
        <v>3</v>
      </c>
      <c r="B14" s="34" t="s">
        <v>16</v>
      </c>
      <c r="C14" s="3" t="s">
        <v>17</v>
      </c>
      <c r="D14" s="416">
        <v>2445</v>
      </c>
      <c r="E14" s="8">
        <f>Instruction!M16</f>
        <v>10741255</v>
      </c>
      <c r="F14" s="8">
        <f>'Student&amp;Institutional Support'!S17</f>
        <v>8159780.2037827773</v>
      </c>
      <c r="G14" s="8">
        <f>Facilities!H17</f>
        <v>1214238.112319493</v>
      </c>
      <c r="H14" s="8">
        <f>'Student Success'!E15</f>
        <v>68000</v>
      </c>
      <c r="I14" s="379">
        <f>Research!H17</f>
        <v>2526.183406565794</v>
      </c>
      <c r="J14" s="8">
        <f t="shared" si="0"/>
        <v>20185799.499508835</v>
      </c>
      <c r="K14" s="9">
        <f t="shared" si="1"/>
        <v>2.399751623428853E-2</v>
      </c>
      <c r="L14" s="56">
        <v>16348586.551853374</v>
      </c>
      <c r="M14" s="46">
        <v>2.4656096148178458E-2</v>
      </c>
      <c r="N14" s="17">
        <f t="shared" si="2"/>
        <v>7896912.1942596789</v>
      </c>
      <c r="O14" s="17">
        <f t="shared" si="3"/>
        <v>7685980.6777034346</v>
      </c>
      <c r="P14" s="51">
        <f t="shared" si="6"/>
        <v>15582892.871963114</v>
      </c>
      <c r="Q14" s="39">
        <f t="shared" si="4"/>
        <v>2.4326806191233501E-2</v>
      </c>
      <c r="R14" s="35">
        <f t="shared" si="7"/>
        <v>-765693.6798902601</v>
      </c>
      <c r="S14" s="43">
        <f t="shared" si="5"/>
        <v>-4.683546662958802E-2</v>
      </c>
      <c r="U14" s="162">
        <v>2151651.4195426404</v>
      </c>
      <c r="V14" s="352">
        <v>203018</v>
      </c>
      <c r="W14" s="323">
        <f>158333.33</f>
        <v>158333.32999999999</v>
      </c>
      <c r="Y14" s="6"/>
    </row>
    <row r="15" spans="1:25" x14ac:dyDescent="0.2">
      <c r="A15">
        <v>4</v>
      </c>
      <c r="B15" s="34" t="s">
        <v>18</v>
      </c>
      <c r="C15" s="3" t="s">
        <v>138</v>
      </c>
      <c r="D15" s="416">
        <v>4832</v>
      </c>
      <c r="E15" s="8">
        <f>Instruction!M17</f>
        <v>23322610.474659394</v>
      </c>
      <c r="F15" s="8">
        <f>'Student&amp;Institutional Support'!S18</f>
        <v>15690976.556029391</v>
      </c>
      <c r="G15" s="8">
        <f>Facilities!H18</f>
        <v>924365.60289229976</v>
      </c>
      <c r="H15" s="8">
        <f>'Student Success'!E16</f>
        <v>873475.22337013565</v>
      </c>
      <c r="I15" s="379">
        <f>Research!H18</f>
        <v>197986.92152251172</v>
      </c>
      <c r="J15" s="8">
        <f t="shared" si="0"/>
        <v>41009414.778473735</v>
      </c>
      <c r="K15" s="9">
        <f t="shared" si="1"/>
        <v>4.8753288019582348E-2</v>
      </c>
      <c r="L15" s="56">
        <v>31636173.224631395</v>
      </c>
      <c r="M15" s="46">
        <v>4.7712046929128095E-2</v>
      </c>
      <c r="N15" s="17">
        <f t="shared" si="2"/>
        <v>15281326.084363008</v>
      </c>
      <c r="O15" s="17">
        <f t="shared" si="3"/>
        <v>15614817.218359089</v>
      </c>
      <c r="P15" s="51">
        <f t="shared" si="6"/>
        <v>30896143.302722096</v>
      </c>
      <c r="Q15" s="39">
        <f t="shared" si="4"/>
        <v>4.8232667474355242E-2</v>
      </c>
      <c r="R15" s="35">
        <f t="shared" si="7"/>
        <v>-740029.92190929875</v>
      </c>
      <c r="S15" s="43">
        <f t="shared" si="5"/>
        <v>-2.3391891195396662E-2</v>
      </c>
      <c r="U15" s="162">
        <v>3913152.2097854498</v>
      </c>
      <c r="V15" s="352">
        <v>486679</v>
      </c>
      <c r="W15" s="323"/>
      <c r="Y15" s="6"/>
    </row>
    <row r="16" spans="1:25" x14ac:dyDescent="0.2">
      <c r="A16">
        <v>3</v>
      </c>
      <c r="B16" s="34" t="s">
        <v>19</v>
      </c>
      <c r="C16" s="3" t="s">
        <v>20</v>
      </c>
      <c r="D16" s="416">
        <v>4167</v>
      </c>
      <c r="E16" s="8">
        <f>Instruction!M18</f>
        <v>16098721</v>
      </c>
      <c r="F16" s="8">
        <f>'Student&amp;Institutional Support'!S19</f>
        <v>11378606.286518961</v>
      </c>
      <c r="G16" s="8">
        <f>Facilities!H19</f>
        <v>2749445.0756145935</v>
      </c>
      <c r="H16" s="8">
        <f>'Student Success'!E17</f>
        <v>0</v>
      </c>
      <c r="I16" s="379">
        <f>Research!H19</f>
        <v>47074.557812445011</v>
      </c>
      <c r="J16" s="8">
        <f t="shared" si="0"/>
        <v>30273846.919946</v>
      </c>
      <c r="K16" s="9">
        <f t="shared" si="1"/>
        <v>3.5990505749026548E-2</v>
      </c>
      <c r="L16" s="56">
        <v>23892128.736867119</v>
      </c>
      <c r="M16" s="46">
        <v>3.6032877915924223E-2</v>
      </c>
      <c r="N16" s="17">
        <f t="shared" si="2"/>
        <v>11540694.491879411</v>
      </c>
      <c r="O16" s="17">
        <f t="shared" si="3"/>
        <v>11527123.435072182</v>
      </c>
      <c r="P16" s="51">
        <f t="shared" si="6"/>
        <v>23067817.926951595</v>
      </c>
      <c r="Q16" s="39">
        <f t="shared" si="4"/>
        <v>3.60116918324754E-2</v>
      </c>
      <c r="R16" s="35">
        <f t="shared" si="7"/>
        <v>-824310.80991552398</v>
      </c>
      <c r="S16" s="43">
        <f t="shared" si="5"/>
        <v>-3.4501354776460685E-2</v>
      </c>
      <c r="U16" s="162">
        <v>4120506.0018131211</v>
      </c>
      <c r="V16" s="352">
        <v>510455</v>
      </c>
      <c r="W16" s="323"/>
      <c r="Y16" s="6"/>
    </row>
    <row r="17" spans="1:25" ht="12.75" customHeight="1" x14ac:dyDescent="0.2">
      <c r="A17">
        <v>3</v>
      </c>
      <c r="B17" s="34" t="s">
        <v>116</v>
      </c>
      <c r="C17" s="3" t="s">
        <v>293</v>
      </c>
      <c r="D17" s="417">
        <v>2459</v>
      </c>
      <c r="E17" s="8">
        <f>Instruction!M19</f>
        <v>10150118.5</v>
      </c>
      <c r="F17" s="8">
        <f>'Student&amp;Institutional Support'!S20</f>
        <v>8449641.347528534</v>
      </c>
      <c r="G17" s="8">
        <f>Facilities!H20</f>
        <v>3059202.5338510009</v>
      </c>
      <c r="H17" s="8">
        <f>'Student Success'!E18</f>
        <v>0</v>
      </c>
      <c r="I17" s="379">
        <f>Research!H20</f>
        <v>260333.26926321833</v>
      </c>
      <c r="J17" s="8">
        <f>SUM(E17:I17)</f>
        <v>21919295.650642753</v>
      </c>
      <c r="K17" s="9">
        <f t="shared" si="1"/>
        <v>2.6058351230193701E-2</v>
      </c>
      <c r="L17" s="56">
        <v>19066274.59542308</v>
      </c>
      <c r="M17" s="46">
        <v>2.8754773271762166E-2</v>
      </c>
      <c r="N17" s="17">
        <f t="shared" si="2"/>
        <v>9209646.0984042156</v>
      </c>
      <c r="O17" s="17">
        <f t="shared" si="3"/>
        <v>8346029.7346066684</v>
      </c>
      <c r="P17" s="51">
        <f>N17+O17</f>
        <v>17555675.833010882</v>
      </c>
      <c r="Q17" s="39">
        <f t="shared" si="4"/>
        <v>2.7406562250977942E-2</v>
      </c>
      <c r="R17" s="35">
        <f>P17-L17</f>
        <v>-1510598.7624121979</v>
      </c>
      <c r="S17" s="43">
        <f>R17/L17</f>
        <v>-7.9228837015429432E-2</v>
      </c>
      <c r="U17" s="162">
        <v>2302525.0004053926</v>
      </c>
      <c r="V17" s="352">
        <v>205738</v>
      </c>
      <c r="W17" s="323">
        <f>158333.33*6</f>
        <v>949999.98</v>
      </c>
      <c r="Y17" s="6"/>
    </row>
    <row r="18" spans="1:25" ht="12" customHeight="1" x14ac:dyDescent="0.2">
      <c r="A18">
        <v>1</v>
      </c>
      <c r="B18" s="34" t="s">
        <v>21</v>
      </c>
      <c r="C18" s="97" t="s">
        <v>174</v>
      </c>
      <c r="D18" s="416">
        <v>1221</v>
      </c>
      <c r="E18" s="8">
        <f>Instruction!M20</f>
        <v>5465404</v>
      </c>
      <c r="F18" s="8">
        <f>'Student&amp;Institutional Support'!S21</f>
        <v>5432333.791321462</v>
      </c>
      <c r="G18" s="8">
        <f>Facilities!H21</f>
        <v>893018.7754224519</v>
      </c>
      <c r="H18" s="8">
        <f>'Student Success'!E19</f>
        <v>4000</v>
      </c>
      <c r="I18" s="379">
        <f>Research!H21</f>
        <v>0</v>
      </c>
      <c r="J18" s="8">
        <f t="shared" si="0"/>
        <v>11794756.566743914</v>
      </c>
      <c r="K18" s="9">
        <f t="shared" si="1"/>
        <v>1.4021979272944103E-2</v>
      </c>
      <c r="L18" s="56">
        <v>9070166.0492271967</v>
      </c>
      <c r="M18" s="46">
        <v>1.367915724581934E-2</v>
      </c>
      <c r="N18" s="17">
        <f t="shared" si="2"/>
        <v>4381192.5055981306</v>
      </c>
      <c r="O18" s="17">
        <f t="shared" si="3"/>
        <v>4490992.3469920158</v>
      </c>
      <c r="P18" s="51">
        <f t="shared" si="6"/>
        <v>8872184.8525901474</v>
      </c>
      <c r="Q18" s="39">
        <f t="shared" si="4"/>
        <v>1.3850568259381729E-2</v>
      </c>
      <c r="R18" s="35">
        <f t="shared" si="7"/>
        <v>-197981.19663704932</v>
      </c>
      <c r="S18" s="43">
        <f t="shared" si="5"/>
        <v>-2.1827736731889032E-2</v>
      </c>
      <c r="U18" s="162">
        <v>1171620.3411664306</v>
      </c>
      <c r="V18" s="352">
        <v>137047</v>
      </c>
      <c r="W18" s="323">
        <f>158333.33*2</f>
        <v>316666.65999999997</v>
      </c>
      <c r="Y18" s="6"/>
    </row>
    <row r="19" spans="1:25" ht="12" customHeight="1" x14ac:dyDescent="0.2">
      <c r="B19" s="34" t="s">
        <v>108</v>
      </c>
      <c r="C19" s="3" t="s">
        <v>139</v>
      </c>
      <c r="D19" s="416">
        <v>3211</v>
      </c>
      <c r="E19" s="8">
        <f>Instruction!M21</f>
        <v>13143253.5</v>
      </c>
      <c r="F19" s="8">
        <f>'Student&amp;Institutional Support'!S22</f>
        <v>9936776.1356410943</v>
      </c>
      <c r="G19" s="8">
        <f>Facilities!H22</f>
        <v>2273934.2575473445</v>
      </c>
      <c r="H19" s="8">
        <f>'Student Success'!E20</f>
        <v>136100.85513088963</v>
      </c>
      <c r="I19" s="379">
        <f>Research!H22</f>
        <v>41693.496538633524</v>
      </c>
      <c r="J19" s="8">
        <f t="shared" si="0"/>
        <v>25531758.244857963</v>
      </c>
      <c r="K19" s="9">
        <f t="shared" si="1"/>
        <v>3.0352960901341427E-2</v>
      </c>
      <c r="L19" s="56">
        <v>20352338.108790919</v>
      </c>
      <c r="M19" s="46">
        <v>3.0694348019566092E-2</v>
      </c>
      <c r="N19" s="17">
        <f t="shared" si="2"/>
        <v>9830857.6391753424</v>
      </c>
      <c r="O19" s="17">
        <f t="shared" si="3"/>
        <v>9721517.373763103</v>
      </c>
      <c r="P19" s="51">
        <f t="shared" si="6"/>
        <v>19552375.012938447</v>
      </c>
      <c r="Q19" s="39">
        <f t="shared" si="4"/>
        <v>3.0523654460453777E-2</v>
      </c>
      <c r="R19" s="35">
        <f t="shared" si="7"/>
        <v>-799963.09585247189</v>
      </c>
      <c r="S19" s="43">
        <f t="shared" si="5"/>
        <v>-3.930570981949924E-2</v>
      </c>
      <c r="U19" s="162">
        <v>2786959.1423918754</v>
      </c>
      <c r="V19" s="352">
        <v>300121</v>
      </c>
      <c r="W19" s="323">
        <f>158333.33*4</f>
        <v>633333.31999999995</v>
      </c>
      <c r="Y19" s="6"/>
    </row>
    <row r="20" spans="1:25" x14ac:dyDescent="0.2">
      <c r="A20">
        <v>4</v>
      </c>
      <c r="B20" s="34" t="s">
        <v>26</v>
      </c>
      <c r="C20" s="3" t="s">
        <v>62</v>
      </c>
      <c r="D20" s="416">
        <v>4013</v>
      </c>
      <c r="E20" s="8">
        <f>Instruction!M22</f>
        <v>18824402.096147239</v>
      </c>
      <c r="F20" s="8">
        <f>'Student&amp;Institutional Support'!S23</f>
        <v>12391200.330268368</v>
      </c>
      <c r="G20" s="8">
        <f>Facilities!H23</f>
        <v>2625498.9214411313</v>
      </c>
      <c r="H20" s="8">
        <f>'Student Success'!E21</f>
        <v>32000</v>
      </c>
      <c r="I20" s="379">
        <f>Research!H23</f>
        <v>242934.99730364615</v>
      </c>
      <c r="J20" s="8">
        <f t="shared" si="0"/>
        <v>34116036.345160387</v>
      </c>
      <c r="K20" s="9">
        <f t="shared" si="1"/>
        <v>4.0558221935300842E-2</v>
      </c>
      <c r="L20" s="56">
        <v>27952729.282193955</v>
      </c>
      <c r="M20" s="46">
        <v>4.2156866503400878E-2</v>
      </c>
      <c r="N20" s="17">
        <f t="shared" si="2"/>
        <v>13502099.892933717</v>
      </c>
      <c r="O20" s="17">
        <f t="shared" si="3"/>
        <v>12990082.268235704</v>
      </c>
      <c r="P20" s="51">
        <f t="shared" si="6"/>
        <v>26492182.161169421</v>
      </c>
      <c r="Q20" s="39">
        <f t="shared" si="4"/>
        <v>4.1357544219350874E-2</v>
      </c>
      <c r="R20" s="35">
        <f t="shared" si="7"/>
        <v>-1460547.1210245341</v>
      </c>
      <c r="S20" s="43">
        <f t="shared" si="5"/>
        <v>-5.2250608743057904E-2</v>
      </c>
      <c r="U20" s="162">
        <v>2927932.9328474109</v>
      </c>
      <c r="V20" s="352">
        <v>211446</v>
      </c>
      <c r="W20" s="323"/>
      <c r="Y20" s="6"/>
    </row>
    <row r="21" spans="1:25" x14ac:dyDescent="0.2">
      <c r="A21">
        <v>4</v>
      </c>
      <c r="B21" s="34" t="s">
        <v>22</v>
      </c>
      <c r="C21" s="3" t="s">
        <v>23</v>
      </c>
      <c r="D21" s="416">
        <v>13149</v>
      </c>
      <c r="E21" s="8">
        <f>Instruction!M23</f>
        <v>52121464.955599114</v>
      </c>
      <c r="F21" s="8">
        <f>'Student&amp;Institutional Support'!S24</f>
        <v>23014250.92867323</v>
      </c>
      <c r="G21" s="8">
        <f>Facilities!H24</f>
        <v>3306176.5754791042</v>
      </c>
      <c r="H21" s="8">
        <f>'Student Success'!E22</f>
        <v>454103.31611717632</v>
      </c>
      <c r="I21" s="379">
        <f>Research!H24</f>
        <v>1025515.6968542747</v>
      </c>
      <c r="J21" s="8">
        <f t="shared" si="0"/>
        <v>79921511.472722903</v>
      </c>
      <c r="K21" s="9">
        <f t="shared" si="1"/>
        <v>9.5013218033906069E-2</v>
      </c>
      <c r="L21" s="56">
        <v>61394460.626190037</v>
      </c>
      <c r="M21" s="46">
        <v>9.2591963186768003E-2</v>
      </c>
      <c r="N21" s="17">
        <f t="shared" si="2"/>
        <v>29655570.727243878</v>
      </c>
      <c r="O21" s="17">
        <f t="shared" si="3"/>
        <v>30431055.897842854</v>
      </c>
      <c r="P21" s="51">
        <f t="shared" si="6"/>
        <v>60086626.625086732</v>
      </c>
      <c r="Q21" s="39">
        <f t="shared" si="4"/>
        <v>9.3802590610337078E-2</v>
      </c>
      <c r="R21" s="35">
        <f t="shared" si="7"/>
        <v>-1307834.0011033043</v>
      </c>
      <c r="S21" s="43">
        <f t="shared" si="5"/>
        <v>-2.1302149864403243E-2</v>
      </c>
      <c r="U21" s="162">
        <v>10220647.772384018</v>
      </c>
      <c r="V21" s="352">
        <v>697407</v>
      </c>
      <c r="W21" s="323"/>
      <c r="Y21" s="6"/>
    </row>
    <row r="22" spans="1:25" x14ac:dyDescent="0.2">
      <c r="A22">
        <v>3</v>
      </c>
      <c r="B22" s="34" t="s">
        <v>24</v>
      </c>
      <c r="C22" s="3" t="s">
        <v>135</v>
      </c>
      <c r="D22" s="416">
        <v>1999</v>
      </c>
      <c r="E22" s="8">
        <f>Instruction!M24</f>
        <v>9042996</v>
      </c>
      <c r="F22" s="8">
        <f>'Student&amp;Institutional Support'!S25</f>
        <v>7458275.135065834</v>
      </c>
      <c r="G22" s="8">
        <f>Facilities!H25</f>
        <v>1748848.7421804513</v>
      </c>
      <c r="H22" s="8">
        <f>'Student Success'!E23</f>
        <v>285775.14416397398</v>
      </c>
      <c r="I22" s="379">
        <f>Research!H25</f>
        <v>302077.5459090012</v>
      </c>
      <c r="J22" s="8">
        <f t="shared" si="0"/>
        <v>18837972.567319263</v>
      </c>
      <c r="K22" s="9">
        <f t="shared" si="1"/>
        <v>2.2395176991445186E-2</v>
      </c>
      <c r="L22" s="56">
        <v>14680998.143407404</v>
      </c>
      <c r="M22" s="46">
        <v>2.2141125205349731E-2</v>
      </c>
      <c r="N22" s="17">
        <f t="shared" si="2"/>
        <v>7091411.4131435174</v>
      </c>
      <c r="O22" s="17">
        <f t="shared" si="3"/>
        <v>7172779.7139294008</v>
      </c>
      <c r="P22" s="51">
        <f t="shared" si="6"/>
        <v>14264191.127072919</v>
      </c>
      <c r="Q22" s="39">
        <f t="shared" si="4"/>
        <v>2.2268151098397467E-2</v>
      </c>
      <c r="R22" s="35">
        <f t="shared" si="7"/>
        <v>-416807.01633448526</v>
      </c>
      <c r="S22" s="43">
        <f t="shared" si="5"/>
        <v>-2.8390918128523509E-2</v>
      </c>
      <c r="U22" s="162">
        <v>1927037.4458877919</v>
      </c>
      <c r="V22" s="352">
        <v>193469</v>
      </c>
      <c r="W22" s="323">
        <f>158333.33*5</f>
        <v>791666.64999999991</v>
      </c>
      <c r="Y22" s="6"/>
    </row>
    <row r="23" spans="1:25" x14ac:dyDescent="0.2">
      <c r="A23">
        <v>2</v>
      </c>
      <c r="B23" s="34" t="s">
        <v>27</v>
      </c>
      <c r="C23" s="3" t="s">
        <v>130</v>
      </c>
      <c r="D23" s="416">
        <v>6481</v>
      </c>
      <c r="E23" s="8">
        <f>Instruction!M25</f>
        <v>21851825</v>
      </c>
      <c r="F23" s="8">
        <f>'Student&amp;Institutional Support'!S26</f>
        <v>14387881.380463246</v>
      </c>
      <c r="G23" s="8">
        <f>Facilities!H26</f>
        <v>1440293.8816238737</v>
      </c>
      <c r="H23" s="8">
        <f>'Student Success'!E24</f>
        <v>938274.02543754899</v>
      </c>
      <c r="I23" s="379">
        <f>Research!H26</f>
        <v>54115.143259209719</v>
      </c>
      <c r="J23" s="8">
        <f t="shared" si="0"/>
        <v>38672389.430783875</v>
      </c>
      <c r="K23" s="9">
        <f t="shared" si="1"/>
        <v>4.5974958445740309E-2</v>
      </c>
      <c r="L23" s="56">
        <v>28878862.423521228</v>
      </c>
      <c r="M23" s="46">
        <v>4.3553612803526202E-2</v>
      </c>
      <c r="N23" s="17">
        <f t="shared" si="2"/>
        <v>13949453.067720946</v>
      </c>
      <c r="O23" s="17">
        <f t="shared" si="3"/>
        <v>14724967.318379428</v>
      </c>
      <c r="P23" s="51">
        <f t="shared" si="6"/>
        <v>28674420.386100374</v>
      </c>
      <c r="Q23" s="39">
        <f t="shared" si="4"/>
        <v>4.4764285624633277E-2</v>
      </c>
      <c r="R23" s="35">
        <f t="shared" si="7"/>
        <v>-204442.03742085397</v>
      </c>
      <c r="S23" s="43">
        <f t="shared" si="5"/>
        <v>-7.0792967680866894E-3</v>
      </c>
      <c r="U23" s="162">
        <v>6377790.3146599345</v>
      </c>
      <c r="V23" s="352">
        <v>723671</v>
      </c>
      <c r="W23" s="323"/>
      <c r="Y23" s="6"/>
    </row>
    <row r="24" spans="1:25" ht="14.25" customHeight="1" x14ac:dyDescent="0.2">
      <c r="A24">
        <v>2</v>
      </c>
      <c r="B24" s="34" t="s">
        <v>29</v>
      </c>
      <c r="C24" s="97" t="s">
        <v>131</v>
      </c>
      <c r="D24" s="416">
        <v>3011</v>
      </c>
      <c r="E24" s="8">
        <f>Instruction!M26</f>
        <v>12184572</v>
      </c>
      <c r="F24" s="8">
        <f>'Student&amp;Institutional Support'!S27</f>
        <v>8966818.0794265829</v>
      </c>
      <c r="G24" s="8">
        <f>Facilities!H27</f>
        <v>1417555.664926566</v>
      </c>
      <c r="H24" s="8">
        <f>'Student Success'!E25</f>
        <v>479098.53296823392</v>
      </c>
      <c r="I24" s="379">
        <f>Research!H27</f>
        <v>0</v>
      </c>
      <c r="J24" s="8">
        <f t="shared" si="0"/>
        <v>23048044.277321383</v>
      </c>
      <c r="K24" s="9">
        <f t="shared" si="1"/>
        <v>2.7400243261461048E-2</v>
      </c>
      <c r="L24" s="56">
        <v>18663818.62007587</v>
      </c>
      <c r="M24" s="46">
        <v>2.8147809899601726E-2</v>
      </c>
      <c r="N24" s="17">
        <f t="shared" si="2"/>
        <v>9015246.4486674163</v>
      </c>
      <c r="O24" s="17">
        <f t="shared" si="3"/>
        <v>8775814.0557502192</v>
      </c>
      <c r="P24" s="51">
        <f t="shared" si="6"/>
        <v>17791060.504417636</v>
      </c>
      <c r="Q24" s="39">
        <f t="shared" si="4"/>
        <v>2.7774026580531398E-2</v>
      </c>
      <c r="R24" s="35">
        <f t="shared" si="7"/>
        <v>-872758.1156582348</v>
      </c>
      <c r="S24" s="43">
        <f t="shared" si="5"/>
        <v>-4.6762033720122324E-2</v>
      </c>
      <c r="U24" s="162">
        <v>3106859.0785279283</v>
      </c>
      <c r="V24" s="352">
        <v>330858</v>
      </c>
      <c r="W24" s="323"/>
      <c r="Y24" s="6"/>
    </row>
    <row r="25" spans="1:25" x14ac:dyDescent="0.2">
      <c r="A25">
        <v>3</v>
      </c>
      <c r="B25" s="34" t="s">
        <v>109</v>
      </c>
      <c r="C25" s="3" t="s">
        <v>132</v>
      </c>
      <c r="D25" s="416">
        <v>1426</v>
      </c>
      <c r="E25" s="8">
        <f>Instruction!M27</f>
        <v>7382064</v>
      </c>
      <c r="F25" s="8">
        <f>'Student&amp;Institutional Support'!S28</f>
        <v>6276004.260281452</v>
      </c>
      <c r="G25" s="8">
        <f>Facilities!H28</f>
        <v>1582511.1602147229</v>
      </c>
      <c r="H25" s="8">
        <f>'Student Success'!E26</f>
        <v>163549.41561310898</v>
      </c>
      <c r="I25" s="379">
        <f>Research!H28</f>
        <v>31865.518088650308</v>
      </c>
      <c r="J25" s="8">
        <f t="shared" si="0"/>
        <v>15435994.354197932</v>
      </c>
      <c r="K25" s="9">
        <f t="shared" si="1"/>
        <v>1.8350797802993351E-2</v>
      </c>
      <c r="L25" s="56">
        <v>12666962.233763695</v>
      </c>
      <c r="M25" s="46">
        <v>1.9103659986166619E-2</v>
      </c>
      <c r="N25" s="17">
        <f t="shared" si="2"/>
        <v>6118564.9420374725</v>
      </c>
      <c r="O25" s="17">
        <f t="shared" si="3"/>
        <v>5877436.4795603668</v>
      </c>
      <c r="P25" s="51">
        <f t="shared" si="6"/>
        <v>11996001.421597838</v>
      </c>
      <c r="Q25" s="39">
        <f t="shared" si="4"/>
        <v>1.8727228894579988E-2</v>
      </c>
      <c r="R25" s="35">
        <f t="shared" si="7"/>
        <v>-670960.81216585636</v>
      </c>
      <c r="S25" s="43">
        <f t="shared" si="5"/>
        <v>-5.296935443427906E-2</v>
      </c>
      <c r="U25" s="162">
        <v>1437230.4186877154</v>
      </c>
      <c r="V25" s="352">
        <v>139933</v>
      </c>
      <c r="W25" s="323">
        <f>158333.33*2</f>
        <v>316666.65999999997</v>
      </c>
      <c r="Y25" s="6"/>
    </row>
    <row r="26" spans="1:25" x14ac:dyDescent="0.2">
      <c r="A26">
        <v>1</v>
      </c>
      <c r="B26" s="34" t="s">
        <v>33</v>
      </c>
      <c r="C26" s="3" t="s">
        <v>128</v>
      </c>
      <c r="D26" s="416">
        <v>832</v>
      </c>
      <c r="E26" s="8">
        <f>Instruction!M28</f>
        <v>3432372.5</v>
      </c>
      <c r="F26" s="8">
        <f>'Student&amp;Institutional Support'!S29</f>
        <v>4932614.868107602</v>
      </c>
      <c r="G26" s="8">
        <f>Facilities!H29</f>
        <v>373165.08718327351</v>
      </c>
      <c r="H26" s="8">
        <f>'Student Success'!E27</f>
        <v>28000</v>
      </c>
      <c r="I26" s="379">
        <f>Research!H29</f>
        <v>0</v>
      </c>
      <c r="J26" s="8">
        <f t="shared" si="0"/>
        <v>8766152.4552908763</v>
      </c>
      <c r="K26" s="9">
        <f t="shared" si="1"/>
        <v>1.0421479013660556E-2</v>
      </c>
      <c r="L26" s="56">
        <v>6444475.2870524321</v>
      </c>
      <c r="M26" s="46">
        <v>9.7192256834038888E-3</v>
      </c>
      <c r="N26" s="17">
        <f t="shared" si="2"/>
        <v>3112896.3545879223</v>
      </c>
      <c r="O26" s="17">
        <f t="shared" si="3"/>
        <v>3337815.6951775737</v>
      </c>
      <c r="P26" s="51">
        <f t="shared" si="6"/>
        <v>6450712.0497654956</v>
      </c>
      <c r="Q26" s="39">
        <f t="shared" si="4"/>
        <v>1.0070352348532225E-2</v>
      </c>
      <c r="R26" s="35">
        <f t="shared" si="7"/>
        <v>6236.7627130635083</v>
      </c>
      <c r="S26" s="43">
        <f t="shared" si="5"/>
        <v>9.6776889277452296E-4</v>
      </c>
      <c r="U26" s="162">
        <v>628882.28103769314</v>
      </c>
      <c r="V26" s="352">
        <v>96972</v>
      </c>
      <c r="W26" s="323">
        <f>158333.33</f>
        <v>158333.32999999999</v>
      </c>
      <c r="Y26" s="6"/>
    </row>
    <row r="27" spans="1:25" x14ac:dyDescent="0.2">
      <c r="A27">
        <v>3</v>
      </c>
      <c r="B27" s="34" t="s">
        <v>35</v>
      </c>
      <c r="C27" s="3" t="s">
        <v>36</v>
      </c>
      <c r="D27" s="416">
        <v>2081</v>
      </c>
      <c r="E27" s="8">
        <f>Instruction!M29</f>
        <v>10225275.5</v>
      </c>
      <c r="F27" s="8">
        <f>'Student&amp;Institutional Support'!S30</f>
        <v>6964006.0121141803</v>
      </c>
      <c r="G27" s="8">
        <f>Facilities!H30</f>
        <v>1975318.9500331238</v>
      </c>
      <c r="H27" s="8">
        <f>'Student Success'!E28</f>
        <v>394662.47609853803</v>
      </c>
      <c r="I27" s="379">
        <f>Research!H30</f>
        <v>0</v>
      </c>
      <c r="J27" s="8">
        <f t="shared" si="0"/>
        <v>19559262.938245844</v>
      </c>
      <c r="K27" s="9">
        <f t="shared" si="1"/>
        <v>2.3252669774248651E-2</v>
      </c>
      <c r="L27" s="56">
        <v>15868701.916955659</v>
      </c>
      <c r="M27" s="46">
        <v>2.3932358859909325E-2</v>
      </c>
      <c r="N27" s="17">
        <f t="shared" si="2"/>
        <v>7665111.9213038497</v>
      </c>
      <c r="O27" s="17">
        <f t="shared" si="3"/>
        <v>7447419.5097963</v>
      </c>
      <c r="P27" s="51">
        <f t="shared" si="6"/>
        <v>15112531.431100149</v>
      </c>
      <c r="Q27" s="39">
        <f t="shared" si="4"/>
        <v>2.3592514317078997E-2</v>
      </c>
      <c r="R27" s="35">
        <f t="shared" si="7"/>
        <v>-756170.48585551046</v>
      </c>
      <c r="S27" s="43">
        <f t="shared" si="5"/>
        <v>-4.7651691348965637E-2</v>
      </c>
      <c r="U27" s="162">
        <v>2134189.5918268175</v>
      </c>
      <c r="V27" s="352">
        <v>194009</v>
      </c>
      <c r="W27" s="323">
        <f>158333.33*2</f>
        <v>316666.65999999997</v>
      </c>
      <c r="Y27" s="6"/>
    </row>
    <row r="28" spans="1:25" x14ac:dyDescent="0.2">
      <c r="A28">
        <v>3</v>
      </c>
      <c r="B28" s="34" t="s">
        <v>37</v>
      </c>
      <c r="C28" s="3" t="s">
        <v>129</v>
      </c>
      <c r="D28" s="416">
        <v>2082</v>
      </c>
      <c r="E28" s="8">
        <f>Instruction!M30</f>
        <v>8084586.4269302469</v>
      </c>
      <c r="F28" s="8">
        <f>'Student&amp;Institutional Support'!S31</f>
        <v>6914555.6749775242</v>
      </c>
      <c r="G28" s="8">
        <f>Facilities!H31</f>
        <v>1535007.50625888</v>
      </c>
      <c r="H28" s="8">
        <f>'Student Success'!E29</f>
        <v>284457.29025728756</v>
      </c>
      <c r="I28" s="379">
        <f>Research!H31</f>
        <v>0</v>
      </c>
      <c r="J28" s="8">
        <f t="shared" si="0"/>
        <v>16818606.89842394</v>
      </c>
      <c r="K28" s="9">
        <f t="shared" si="1"/>
        <v>1.9994491280509657E-2</v>
      </c>
      <c r="L28" s="56">
        <v>12871552.451406807</v>
      </c>
      <c r="M28" s="46">
        <v>1.9412212414303808E-2</v>
      </c>
      <c r="N28" s="17">
        <f t="shared" si="2"/>
        <v>6217388.8360424852</v>
      </c>
      <c r="O28" s="17">
        <f t="shared" si="3"/>
        <v>6403882.474425721</v>
      </c>
      <c r="P28" s="51">
        <f t="shared" si="6"/>
        <v>12621271.310468206</v>
      </c>
      <c r="Q28" s="39">
        <f t="shared" si="4"/>
        <v>1.9703351847406739E-2</v>
      </c>
      <c r="R28" s="35">
        <f t="shared" si="7"/>
        <v>-250281.14093860053</v>
      </c>
      <c r="S28" s="43">
        <f t="shared" si="5"/>
        <v>-1.9444518591170083E-2</v>
      </c>
      <c r="U28" s="162">
        <v>1804143.1862976286</v>
      </c>
      <c r="V28" s="352">
        <v>223037</v>
      </c>
      <c r="W28" s="323">
        <f>158333.33*3</f>
        <v>474999.99</v>
      </c>
      <c r="Y28" s="6"/>
    </row>
    <row r="29" spans="1:25" x14ac:dyDescent="0.2">
      <c r="A29">
        <v>3</v>
      </c>
      <c r="B29" s="34" t="s">
        <v>39</v>
      </c>
      <c r="C29" s="3" t="s">
        <v>133</v>
      </c>
      <c r="D29" s="416">
        <v>3120</v>
      </c>
      <c r="E29" s="8">
        <f>Instruction!M31</f>
        <v>12484865.5</v>
      </c>
      <c r="F29" s="8">
        <f>'Student&amp;Institutional Support'!S32</f>
        <v>8196462.001845777</v>
      </c>
      <c r="G29" s="8">
        <f>Facilities!H32</f>
        <v>1629283.828009251</v>
      </c>
      <c r="H29" s="8">
        <f>'Student Success'!E30</f>
        <v>351724.31631768355</v>
      </c>
      <c r="I29" s="379">
        <f>Research!H32</f>
        <v>229371.58879192907</v>
      </c>
      <c r="J29" s="8">
        <f t="shared" si="0"/>
        <v>22891707.234964643</v>
      </c>
      <c r="K29" s="9">
        <f t="shared" si="1"/>
        <v>2.7214384845891833E-2</v>
      </c>
      <c r="L29" s="56">
        <v>18111465.237238586</v>
      </c>
      <c r="M29" s="46">
        <v>2.7314778978438467E-2</v>
      </c>
      <c r="N29" s="17">
        <f t="shared" si="2"/>
        <v>8748441.3551118616</v>
      </c>
      <c r="O29" s="17">
        <f t="shared" si="3"/>
        <v>8716286.8873171601</v>
      </c>
      <c r="P29" s="51">
        <f t="shared" si="6"/>
        <v>17464728.242429022</v>
      </c>
      <c r="Q29" s="39">
        <f t="shared" si="4"/>
        <v>2.7264581912165162E-2</v>
      </c>
      <c r="R29" s="35">
        <f t="shared" si="7"/>
        <v>-646736.9948095642</v>
      </c>
      <c r="S29" s="43">
        <f t="shared" si="5"/>
        <v>-3.5708706409894569E-2</v>
      </c>
      <c r="U29" s="162">
        <v>3179071.5132570523</v>
      </c>
      <c r="V29" s="352">
        <v>300018</v>
      </c>
      <c r="W29" s="323">
        <f>158333.33</f>
        <v>158333.32999999999</v>
      </c>
      <c r="Y29" s="6"/>
    </row>
    <row r="30" spans="1:25" x14ac:dyDescent="0.2">
      <c r="A30">
        <v>1</v>
      </c>
      <c r="B30" s="34" t="s">
        <v>46</v>
      </c>
      <c r="C30" s="3" t="s">
        <v>69</v>
      </c>
      <c r="D30" s="416">
        <v>3398</v>
      </c>
      <c r="E30" s="8">
        <f>Instruction!M32</f>
        <v>14515791.5</v>
      </c>
      <c r="F30" s="8">
        <f>'Student&amp;Institutional Support'!S33</f>
        <v>9992664.4667718671</v>
      </c>
      <c r="G30" s="8">
        <f>Facilities!H33</f>
        <v>1591412.755979032</v>
      </c>
      <c r="H30" s="8">
        <f>'Student Success'!E31</f>
        <v>121621.45627990595</v>
      </c>
      <c r="I30" s="379">
        <f>Research!H33</f>
        <v>0</v>
      </c>
      <c r="J30" s="8">
        <f t="shared" si="0"/>
        <v>26221490.179030806</v>
      </c>
      <c r="K30" s="9">
        <f t="shared" si="1"/>
        <v>3.1172936017413631E-2</v>
      </c>
      <c r="L30" s="56">
        <v>20836744.331084713</v>
      </c>
      <c r="M30" s="46">
        <v>3.1424904533046312E-2</v>
      </c>
      <c r="N30" s="17">
        <f t="shared" si="2"/>
        <v>10064841.989545586</v>
      </c>
      <c r="O30" s="17">
        <f t="shared" si="3"/>
        <v>9984140.9235004541</v>
      </c>
      <c r="P30" s="51">
        <f t="shared" si="6"/>
        <v>20048982.91304604</v>
      </c>
      <c r="Q30" s="39">
        <f t="shared" si="4"/>
        <v>3.1298920275229986E-2</v>
      </c>
      <c r="R30" s="35">
        <f t="shared" si="7"/>
        <v>-787761.4180386737</v>
      </c>
      <c r="S30" s="43">
        <f t="shared" si="5"/>
        <v>-3.7806358110536196E-2</v>
      </c>
      <c r="U30" s="162">
        <v>3455458.629157193</v>
      </c>
      <c r="V30" s="352">
        <v>396637</v>
      </c>
      <c r="W30" s="323"/>
      <c r="Y30" s="6"/>
    </row>
    <row r="31" spans="1:25" x14ac:dyDescent="0.2">
      <c r="A31">
        <v>4</v>
      </c>
      <c r="B31" s="34" t="s">
        <v>41</v>
      </c>
      <c r="C31" s="3" t="s">
        <v>115</v>
      </c>
      <c r="D31" s="416">
        <v>1860</v>
      </c>
      <c r="E31" s="8">
        <f>Instruction!M33</f>
        <v>9762295.5</v>
      </c>
      <c r="F31" s="8">
        <f>'Student&amp;Institutional Support'!S34</f>
        <v>7153244.7961453423</v>
      </c>
      <c r="G31" s="8">
        <f>Facilities!H34</f>
        <v>1277313.0653846478</v>
      </c>
      <c r="H31" s="8">
        <f>'Student Success'!E32</f>
        <v>8000</v>
      </c>
      <c r="I31" s="379">
        <f>Research!H34</f>
        <v>8220.377865299035</v>
      </c>
      <c r="J31" s="8">
        <f t="shared" si="0"/>
        <v>18209073.739395291</v>
      </c>
      <c r="K31" s="9">
        <f t="shared" si="1"/>
        <v>2.16475221941607E-2</v>
      </c>
      <c r="L31" s="56">
        <v>14338268.267711934</v>
      </c>
      <c r="M31" s="46">
        <v>2.1624237660288977E-2</v>
      </c>
      <c r="N31" s="17">
        <f t="shared" si="2"/>
        <v>6925861.4601777168</v>
      </c>
      <c r="O31" s="17">
        <f t="shared" si="3"/>
        <v>6933319.0851952452</v>
      </c>
      <c r="P31" s="51">
        <f t="shared" si="6"/>
        <v>13859180.545372963</v>
      </c>
      <c r="Q31" s="39">
        <f t="shared" si="4"/>
        <v>2.1635879927224849E-2</v>
      </c>
      <c r="R31" s="35">
        <f t="shared" si="7"/>
        <v>-479087.72233897075</v>
      </c>
      <c r="S31" s="43">
        <f t="shared" si="5"/>
        <v>-3.3413220717722167E-2</v>
      </c>
      <c r="U31" s="162">
        <v>1879284.5062331534</v>
      </c>
      <c r="V31" s="352">
        <v>172388</v>
      </c>
      <c r="W31" s="323">
        <f>158333.33*2</f>
        <v>316666.65999999997</v>
      </c>
      <c r="Y31" s="6"/>
    </row>
    <row r="32" spans="1:25" x14ac:dyDescent="0.2">
      <c r="A32">
        <v>4</v>
      </c>
      <c r="B32" s="34" t="s">
        <v>42</v>
      </c>
      <c r="C32" s="3" t="s">
        <v>68</v>
      </c>
      <c r="D32" s="416">
        <v>3414</v>
      </c>
      <c r="E32" s="8">
        <f>Instruction!M34</f>
        <v>11818953.824625965</v>
      </c>
      <c r="F32" s="8">
        <f>'Student&amp;Institutional Support'!S35</f>
        <v>14082305.914614329</v>
      </c>
      <c r="G32" s="8">
        <f>Facilities!H35</f>
        <v>2018628.4666362137</v>
      </c>
      <c r="H32" s="8">
        <f>'Student Success'!E33</f>
        <v>36000</v>
      </c>
      <c r="I32" s="379">
        <f>Research!H35</f>
        <v>79961.033128896277</v>
      </c>
      <c r="J32" s="8">
        <f t="shared" si="0"/>
        <v>28035849.239005405</v>
      </c>
      <c r="K32" s="9">
        <f t="shared" si="1"/>
        <v>3.3329903394288068E-2</v>
      </c>
      <c r="L32" s="56">
        <v>21271823.376352303</v>
      </c>
      <c r="M32" s="46">
        <v>3.2081068338898955E-2</v>
      </c>
      <c r="N32" s="17">
        <f t="shared" si="2"/>
        <v>10274999.669363538</v>
      </c>
      <c r="O32" s="17">
        <f t="shared" si="3"/>
        <v>10674979.484426429</v>
      </c>
      <c r="P32" s="51">
        <f t="shared" si="6"/>
        <v>20949979.153789967</v>
      </c>
      <c r="Q32" s="39">
        <f t="shared" si="4"/>
        <v>3.2705485866593526E-2</v>
      </c>
      <c r="R32" s="35">
        <f>P32-L32</f>
        <v>-321844.22256233543</v>
      </c>
      <c r="S32" s="43">
        <f t="shared" si="5"/>
        <v>-1.5130072155456442E-2</v>
      </c>
      <c r="U32" s="162">
        <v>1725572.7842412302</v>
      </c>
      <c r="V32" s="352">
        <v>378690</v>
      </c>
      <c r="W32" s="323"/>
      <c r="Y32" s="6"/>
    </row>
    <row r="33" spans="1:25" x14ac:dyDescent="0.2">
      <c r="A33">
        <v>1</v>
      </c>
      <c r="B33" s="34" t="s">
        <v>43</v>
      </c>
      <c r="C33" s="3" t="s">
        <v>44</v>
      </c>
      <c r="D33" s="416">
        <v>7214</v>
      </c>
      <c r="E33" s="8">
        <f>Instruction!M35</f>
        <v>33985540.48568444</v>
      </c>
      <c r="F33" s="8">
        <f>'Student&amp;Institutional Support'!S36</f>
        <v>20871428.541515373</v>
      </c>
      <c r="G33" s="8">
        <f>Facilities!H36</f>
        <v>5098318.1222469751</v>
      </c>
      <c r="H33" s="8">
        <f>'Student Success'!E34</f>
        <v>222860.21635604039</v>
      </c>
      <c r="I33" s="379">
        <f>Research!H36</f>
        <v>1628331.7336357208</v>
      </c>
      <c r="J33" s="8">
        <f t="shared" si="0"/>
        <v>61806479.099438548</v>
      </c>
      <c r="K33" s="9">
        <f t="shared" si="1"/>
        <v>7.3477495187103239E-2</v>
      </c>
      <c r="L33" s="56">
        <v>50934246.384919643</v>
      </c>
      <c r="M33" s="46">
        <v>7.6816406856849664E-2</v>
      </c>
      <c r="N33" s="17">
        <f t="shared" si="2"/>
        <v>24602938.615320262</v>
      </c>
      <c r="O33" s="17">
        <f t="shared" si="3"/>
        <v>23533544.169341657</v>
      </c>
      <c r="P33" s="51">
        <f t="shared" si="6"/>
        <v>48136482.784661919</v>
      </c>
      <c r="Q33" s="39">
        <f t="shared" si="4"/>
        <v>7.514695102197648E-2</v>
      </c>
      <c r="R33" s="35">
        <f t="shared" si="7"/>
        <v>-2797763.6002577245</v>
      </c>
      <c r="S33" s="43">
        <f t="shared" si="5"/>
        <v>-5.4928928939372165E-2</v>
      </c>
      <c r="U33" s="162">
        <v>4739370.4304355951</v>
      </c>
      <c r="V33" s="352">
        <v>490854</v>
      </c>
      <c r="W33" s="323"/>
      <c r="Y33" s="6"/>
    </row>
    <row r="34" spans="1:25" x14ac:dyDescent="0.2">
      <c r="A34">
        <v>1</v>
      </c>
      <c r="B34" s="34" t="s">
        <v>45</v>
      </c>
      <c r="C34" s="3" t="s">
        <v>134</v>
      </c>
      <c r="D34" s="416">
        <v>2574</v>
      </c>
      <c r="E34" s="8">
        <f>Instruction!M36</f>
        <v>11139761.5</v>
      </c>
      <c r="F34" s="8">
        <f>'Student&amp;Institutional Support'!S37</f>
        <v>7463116.3357508387</v>
      </c>
      <c r="G34" s="8">
        <f>Facilities!H37</f>
        <v>1369501.0565541703</v>
      </c>
      <c r="H34" s="8">
        <f>'Student Success'!E35</f>
        <v>103153.76371811159</v>
      </c>
      <c r="I34" s="379">
        <f>Research!H37</f>
        <v>0</v>
      </c>
      <c r="J34" s="8">
        <f t="shared" si="0"/>
        <v>20075532.656023122</v>
      </c>
      <c r="K34" s="9">
        <f t="shared" si="1"/>
        <v>2.386642752676835E-2</v>
      </c>
      <c r="L34" s="56">
        <v>15913348.03959783</v>
      </c>
      <c r="M34" s="46">
        <v>2.3999691842428474E-2</v>
      </c>
      <c r="N34" s="17">
        <f t="shared" si="2"/>
        <v>7686677.4865715951</v>
      </c>
      <c r="O34" s="17">
        <f t="shared" si="3"/>
        <v>7643995.2795802075</v>
      </c>
      <c r="P34" s="51">
        <f>N34+O34</f>
        <v>15330672.766151803</v>
      </c>
      <c r="Q34" s="39">
        <f t="shared" si="4"/>
        <v>2.3933059684598423E-2</v>
      </c>
      <c r="R34" s="35">
        <f t="shared" si="7"/>
        <v>-582675.27344602719</v>
      </c>
      <c r="S34" s="43">
        <f t="shared" si="5"/>
        <v>-3.6615504920531658E-2</v>
      </c>
      <c r="U34" s="162">
        <v>2619012.5046818</v>
      </c>
      <c r="V34" s="352">
        <v>277571</v>
      </c>
      <c r="W34" s="323">
        <f>158333.33</f>
        <v>158333.32999999999</v>
      </c>
      <c r="Y34" s="6"/>
    </row>
    <row r="35" spans="1:25" x14ac:dyDescent="0.2">
      <c r="A35">
        <v>4</v>
      </c>
      <c r="B35" s="34" t="s">
        <v>47</v>
      </c>
      <c r="C35" s="3" t="s">
        <v>48</v>
      </c>
      <c r="D35" s="416">
        <v>5596</v>
      </c>
      <c r="E35" s="8">
        <f>Instruction!M37</f>
        <v>28206848.077292047</v>
      </c>
      <c r="F35" s="8">
        <f>'Student&amp;Institutional Support'!S38</f>
        <v>14688565.780012796</v>
      </c>
      <c r="G35" s="8">
        <f>Facilities!H38</f>
        <v>2946300.6299870983</v>
      </c>
      <c r="H35" s="8">
        <f>'Student Success'!E36</f>
        <v>12000</v>
      </c>
      <c r="I35" s="379">
        <f>Research!H38</f>
        <v>130087.01218780159</v>
      </c>
      <c r="J35" s="8">
        <f t="shared" si="0"/>
        <v>45983801.499479741</v>
      </c>
      <c r="K35" s="9">
        <f t="shared" si="1"/>
        <v>5.4666996123929439E-2</v>
      </c>
      <c r="L35" s="56">
        <v>35718979.726288281</v>
      </c>
      <c r="M35" s="46">
        <v>5.3869525396148726E-2</v>
      </c>
      <c r="N35" s="17">
        <f t="shared" si="2"/>
        <v>17253457.702437468</v>
      </c>
      <c r="O35" s="17">
        <f t="shared" si="3"/>
        <v>17508873.494010046</v>
      </c>
      <c r="P35" s="51">
        <f>N35+O35</f>
        <v>34762331.196447514</v>
      </c>
      <c r="Q35" s="39">
        <f t="shared" si="4"/>
        <v>5.4268260760039107E-2</v>
      </c>
      <c r="R35" s="35">
        <f t="shared" si="7"/>
        <v>-956648.52984076738</v>
      </c>
      <c r="S35" s="43">
        <f t="shared" si="5"/>
        <v>-2.6782638730766934E-2</v>
      </c>
      <c r="U35" s="162">
        <v>4484191.5692102797</v>
      </c>
      <c r="V35" s="352">
        <v>279258</v>
      </c>
      <c r="W35" s="323"/>
      <c r="Y35" s="6"/>
    </row>
    <row r="36" spans="1:25" x14ac:dyDescent="0.2">
      <c r="L36" s="58"/>
      <c r="M36" s="38"/>
      <c r="N36" s="16"/>
      <c r="O36" s="16"/>
      <c r="P36" s="11"/>
      <c r="R36" s="11"/>
      <c r="U36" s="16"/>
      <c r="W36" s="129"/>
    </row>
    <row r="37" spans="1:25" x14ac:dyDescent="0.2">
      <c r="B37" s="4"/>
      <c r="C37" s="4" t="s">
        <v>49</v>
      </c>
      <c r="D37" s="12">
        <f t="shared" ref="D37:R37" si="9">SUM(D6:D36)</f>
        <v>108087</v>
      </c>
      <c r="E37" s="12">
        <f t="shared" si="9"/>
        <v>456550534.62580043</v>
      </c>
      <c r="F37" s="12">
        <f t="shared" si="9"/>
        <v>314405782.5992524</v>
      </c>
      <c r="G37" s="12">
        <f t="shared" si="9"/>
        <v>58889592.09533035</v>
      </c>
      <c r="H37" s="12">
        <f t="shared" si="9"/>
        <v>6485923.5296961749</v>
      </c>
      <c r="I37" s="12">
        <f t="shared" si="9"/>
        <v>4830198.3549093399</v>
      </c>
      <c r="J37" s="12">
        <f t="shared" si="9"/>
        <v>841162031.20498884</v>
      </c>
      <c r="K37" s="7">
        <f t="shared" si="9"/>
        <v>1</v>
      </c>
      <c r="L37" s="5">
        <f t="shared" si="9"/>
        <v>663064682</v>
      </c>
      <c r="M37" s="47">
        <v>2.3849775598084811E-2</v>
      </c>
      <c r="N37" s="5">
        <f t="shared" si="9"/>
        <v>320282340.99999994</v>
      </c>
      <c r="O37" s="5">
        <f t="shared" si="9"/>
        <v>320282341.00000006</v>
      </c>
      <c r="P37" s="5">
        <f t="shared" si="9"/>
        <v>640564681.99999976</v>
      </c>
      <c r="Q37" s="7">
        <f t="shared" si="9"/>
        <v>1.0000000000000004</v>
      </c>
      <c r="R37" s="5">
        <f t="shared" si="9"/>
        <v>-22499999.999999993</v>
      </c>
      <c r="S37" s="161">
        <f>R37/L37</f>
        <v>-3.393334106128728E-2</v>
      </c>
      <c r="U37" s="160">
        <f t="shared" ref="U37:W37" si="10">SUM(U6:U36)</f>
        <v>94481519.299999997</v>
      </c>
      <c r="V37" s="160">
        <f>SUM(V6:V36)</f>
        <v>9601007</v>
      </c>
      <c r="W37" s="160">
        <f t="shared" si="10"/>
        <v>5699999.8799999999</v>
      </c>
    </row>
    <row r="38" spans="1:25" ht="18.75" customHeight="1" x14ac:dyDescent="0.2">
      <c r="B38" s="15" t="s">
        <v>301</v>
      </c>
      <c r="C38" s="4"/>
      <c r="D38" s="12"/>
      <c r="E38" s="12"/>
      <c r="F38" s="12"/>
      <c r="G38" s="12"/>
      <c r="H38" s="427"/>
      <c r="I38" s="427"/>
      <c r="J38" s="12"/>
      <c r="K38" s="7"/>
      <c r="L38" s="386"/>
      <c r="M38" s="47"/>
      <c r="N38" s="5"/>
      <c r="O38" s="5"/>
      <c r="P38" s="5"/>
      <c r="Q38" s="7"/>
      <c r="R38" s="5"/>
    </row>
    <row r="39" spans="1:25" ht="21" hidden="1" customHeight="1" x14ac:dyDescent="0.2">
      <c r="B39" s="15"/>
      <c r="E39" s="156"/>
      <c r="F39" s="156"/>
      <c r="G39" s="156"/>
      <c r="H39" s="157"/>
      <c r="I39" s="387"/>
      <c r="N39" s="22"/>
      <c r="O39" s="83">
        <f>(O41)/2</f>
        <v>320282341</v>
      </c>
      <c r="P39" s="40"/>
      <c r="Q39" s="48"/>
      <c r="R39" s="22"/>
    </row>
    <row r="40" spans="1:25" ht="12" customHeight="1" x14ac:dyDescent="0.2">
      <c r="B40" s="429"/>
      <c r="C40" s="430"/>
      <c r="E40" s="156"/>
      <c r="F40" s="156"/>
      <c r="G40" s="156"/>
      <c r="H40" s="157"/>
      <c r="I40" s="387"/>
      <c r="J40" s="11"/>
      <c r="L40" s="4"/>
      <c r="P40" s="40"/>
      <c r="Q40"/>
      <c r="R40" s="11"/>
      <c r="S40" s="319"/>
    </row>
    <row r="41" spans="1:25" hidden="1" x14ac:dyDescent="0.2">
      <c r="J41" s="149"/>
      <c r="N41" s="133" t="s">
        <v>125</v>
      </c>
      <c r="O41" s="374">
        <f>O46</f>
        <v>640564682</v>
      </c>
      <c r="P41" s="22"/>
      <c r="Q41" s="394"/>
      <c r="R41" s="11"/>
      <c r="S41" s="241"/>
    </row>
    <row r="42" spans="1:25" hidden="1" x14ac:dyDescent="0.2">
      <c r="M42" s="241"/>
      <c r="Q42" s="241"/>
      <c r="R42" s="11"/>
      <c r="S42" s="241"/>
    </row>
    <row r="43" spans="1:25" hidden="1" x14ac:dyDescent="0.2">
      <c r="J43" s="129"/>
      <c r="M43" s="241"/>
      <c r="N43" s="125"/>
      <c r="O43" s="48"/>
      <c r="Q43" s="385"/>
      <c r="R43" s="11"/>
      <c r="S43" s="373"/>
    </row>
    <row r="44" spans="1:25" hidden="1" x14ac:dyDescent="0.2">
      <c r="O44" s="374">
        <f>602564682+60500000</f>
        <v>663064682</v>
      </c>
      <c r="P44" s="6" t="s">
        <v>328</v>
      </c>
      <c r="Q44" s="385"/>
      <c r="R44" s="11"/>
      <c r="S44" s="373"/>
    </row>
    <row r="45" spans="1:25" hidden="1" x14ac:dyDescent="0.2">
      <c r="M45" s="241"/>
      <c r="P45" s="6"/>
      <c r="Q45" s="385"/>
      <c r="R45" s="11"/>
      <c r="S45" s="11"/>
    </row>
    <row r="46" spans="1:25" hidden="1" x14ac:dyDescent="0.2">
      <c r="M46" s="241"/>
      <c r="O46" s="374">
        <f>O44-22500000</f>
        <v>640564682</v>
      </c>
      <c r="P46" s="6" t="s">
        <v>329</v>
      </c>
      <c r="Q46" s="241"/>
      <c r="R46" s="394"/>
      <c r="S46" s="373"/>
    </row>
    <row r="47" spans="1:25" hidden="1" x14ac:dyDescent="0.2">
      <c r="R47" s="11"/>
      <c r="S47" s="241"/>
    </row>
    <row r="48" spans="1:25" hidden="1" x14ac:dyDescent="0.2">
      <c r="P48" s="48"/>
    </row>
    <row r="49" spans="13:23" hidden="1" x14ac:dyDescent="0.2">
      <c r="M49" s="241"/>
      <c r="Q49" s="241"/>
      <c r="R49" s="11"/>
      <c r="S49" s="373"/>
    </row>
    <row r="50" spans="13:23" hidden="1" x14ac:dyDescent="0.2">
      <c r="M50" s="241"/>
      <c r="Q50" s="241"/>
      <c r="R50" s="11"/>
      <c r="S50" s="373"/>
    </row>
    <row r="51" spans="13:23" hidden="1" x14ac:dyDescent="0.2">
      <c r="P51" s="122"/>
    </row>
    <row r="52" spans="13:23" hidden="1" x14ac:dyDescent="0.2">
      <c r="S52" s="6"/>
    </row>
    <row r="53" spans="13:23" hidden="1" x14ac:dyDescent="0.2">
      <c r="M53" s="38"/>
      <c r="Q53" s="38"/>
      <c r="S53" s="6"/>
    </row>
    <row r="54" spans="13:23" hidden="1" x14ac:dyDescent="0.2"/>
    <row r="55" spans="13:23" hidden="1" x14ac:dyDescent="0.2"/>
    <row r="58" spans="13:23" x14ac:dyDescent="0.2">
      <c r="P58" s="48"/>
      <c r="Q58" s="22"/>
      <c r="R58" s="22"/>
      <c r="U58" s="129"/>
      <c r="W58" s="129"/>
    </row>
  </sheetData>
  <mergeCells count="1">
    <mergeCell ref="B40:C40"/>
  </mergeCells>
  <pageMargins left="0.3" right="0.08" top="0.82" bottom="0.13" header="0.18" footer="0.13"/>
  <pageSetup scale="80" orientation="landscape" copies="4" r:id="rId1"/>
  <headerFooter alignWithMargins="0">
    <oddHeader>&amp;C&amp;"Arial,Bold"Minnesota State
FY2026
COLLEGE/UNIVERSITY ALLOCATION
(BASED ON FY2024 DATA)
&amp;RSP-6</oddHeader>
  </headerFooter>
  <colBreaks count="2" manualBreakCount="2">
    <brk id="11" max="1048575" man="1"/>
    <brk id="19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49"/>
  <sheetViews>
    <sheetView zoomScale="90" zoomScaleNormal="90" workbookViewId="0">
      <selection activeCell="L8" sqref="L8"/>
    </sheetView>
  </sheetViews>
  <sheetFormatPr defaultColWidth="9.140625" defaultRowHeight="15" customHeight="1" x14ac:dyDescent="0.2"/>
  <cols>
    <col min="1" max="1" width="7.28515625" style="52" customWidth="1"/>
    <col min="2" max="2" width="31.7109375" style="52" customWidth="1"/>
    <col min="3" max="3" width="16.140625" customWidth="1"/>
    <col min="4" max="5" width="12.7109375" style="11" customWidth="1"/>
    <col min="6" max="6" width="12.5703125" style="11" customWidth="1"/>
    <col min="7" max="7" width="13" style="11" customWidth="1"/>
    <col min="8" max="8" width="11" style="11" customWidth="1"/>
    <col min="9" max="9" width="10.42578125" style="11" customWidth="1"/>
    <col min="10" max="10" width="12.85546875" style="58" customWidth="1"/>
    <col min="11" max="12" width="15.85546875" customWidth="1"/>
    <col min="13" max="13" width="13.7109375" customWidth="1"/>
    <col min="14" max="16384" width="9.140625" style="52"/>
  </cols>
  <sheetData>
    <row r="1" spans="1:13" ht="15" customHeight="1" x14ac:dyDescent="0.25">
      <c r="A1" s="57" t="s">
        <v>71</v>
      </c>
      <c r="M1" s="4" t="s">
        <v>264</v>
      </c>
    </row>
    <row r="2" spans="1:13" ht="15" customHeight="1" x14ac:dyDescent="0.2">
      <c r="A2" s="59" t="s">
        <v>72</v>
      </c>
      <c r="H2" s="5"/>
    </row>
    <row r="3" spans="1:13" ht="15" customHeight="1" x14ac:dyDescent="0.2">
      <c r="A3" s="60" t="s">
        <v>316</v>
      </c>
    </row>
    <row r="4" spans="1:13" s="61" customFormat="1" ht="15" customHeight="1" x14ac:dyDescent="0.2">
      <c r="C4" s="19"/>
      <c r="D4" s="29" t="s">
        <v>73</v>
      </c>
      <c r="E4" s="29" t="s">
        <v>74</v>
      </c>
      <c r="F4" s="29" t="s">
        <v>75</v>
      </c>
      <c r="G4" s="29" t="s">
        <v>76</v>
      </c>
      <c r="H4" s="29" t="s">
        <v>77</v>
      </c>
      <c r="I4" s="29" t="s">
        <v>80</v>
      </c>
      <c r="J4" s="62" t="s">
        <v>280</v>
      </c>
      <c r="K4" s="19" t="s">
        <v>281</v>
      </c>
      <c r="L4" s="19"/>
      <c r="M4" s="19" t="s">
        <v>282</v>
      </c>
    </row>
    <row r="5" spans="1:13" ht="27.75" customHeight="1" x14ac:dyDescent="0.2">
      <c r="B5" s="63"/>
      <c r="C5" s="19" t="s">
        <v>78</v>
      </c>
      <c r="D5" s="359"/>
      <c r="E5" s="358" t="s">
        <v>119</v>
      </c>
      <c r="F5" s="139"/>
      <c r="G5" s="140" t="s">
        <v>79</v>
      </c>
      <c r="H5" s="139" t="s">
        <v>119</v>
      </c>
      <c r="I5" s="141" t="s">
        <v>119</v>
      </c>
      <c r="J5" s="62" t="s">
        <v>81</v>
      </c>
      <c r="K5" s="19" t="s">
        <v>110</v>
      </c>
      <c r="L5" s="19" t="s">
        <v>121</v>
      </c>
      <c r="M5" s="19" t="s">
        <v>98</v>
      </c>
    </row>
    <row r="6" spans="1:13" s="67" customFormat="1" ht="90" customHeight="1" x14ac:dyDescent="0.2">
      <c r="A6" s="64" t="s">
        <v>0</v>
      </c>
      <c r="B6" s="65" t="s">
        <v>82</v>
      </c>
      <c r="C6" s="27" t="s">
        <v>275</v>
      </c>
      <c r="D6" s="360" t="s">
        <v>276</v>
      </c>
      <c r="E6" s="84" t="s">
        <v>277</v>
      </c>
      <c r="F6" s="142" t="s">
        <v>83</v>
      </c>
      <c r="G6" s="142" t="s">
        <v>84</v>
      </c>
      <c r="H6" s="84" t="s">
        <v>278</v>
      </c>
      <c r="I6" s="84" t="s">
        <v>279</v>
      </c>
      <c r="J6" s="66" t="s">
        <v>85</v>
      </c>
      <c r="K6" s="309" t="s">
        <v>307</v>
      </c>
      <c r="L6" s="309" t="s">
        <v>292</v>
      </c>
      <c r="M6" s="309" t="s">
        <v>140</v>
      </c>
    </row>
    <row r="7" spans="1:13" ht="15" customHeight="1" x14ac:dyDescent="0.2">
      <c r="B7" s="68"/>
      <c r="C7" s="105"/>
      <c r="D7" s="361"/>
      <c r="E7" s="143"/>
      <c r="F7" s="144"/>
      <c r="G7" s="144"/>
    </row>
    <row r="8" spans="1:13" ht="15" customHeight="1" x14ac:dyDescent="0.2">
      <c r="A8" s="69" t="s">
        <v>2</v>
      </c>
      <c r="B8" s="3" t="s">
        <v>126</v>
      </c>
      <c r="C8" s="106">
        <f>206126+7786407</f>
        <v>7992533</v>
      </c>
      <c r="D8" s="357">
        <v>26221</v>
      </c>
      <c r="E8" s="8">
        <v>463504</v>
      </c>
      <c r="F8" s="341"/>
      <c r="G8" s="104"/>
      <c r="H8" s="8"/>
      <c r="I8" s="8"/>
      <c r="J8" s="56">
        <f t="shared" ref="J8:J13" si="0">SUM(D8:I8)</f>
        <v>489725</v>
      </c>
      <c r="K8" s="32">
        <f t="shared" ref="K8:K12" si="1">+C8+J8</f>
        <v>8482258</v>
      </c>
      <c r="L8" s="32">
        <v>7976040</v>
      </c>
      <c r="M8" s="32">
        <f>AVERAGE(K8:L8)</f>
        <v>8229149</v>
      </c>
    </row>
    <row r="9" spans="1:13" customFormat="1" ht="15" customHeight="1" x14ac:dyDescent="0.2">
      <c r="A9" s="10" t="s">
        <v>4</v>
      </c>
      <c r="B9" s="3" t="s">
        <v>122</v>
      </c>
      <c r="C9" s="106">
        <f>1349182+23454251</f>
        <v>24803433</v>
      </c>
      <c r="D9" s="357">
        <v>174833</v>
      </c>
      <c r="E9" s="8">
        <v>-693506</v>
      </c>
      <c r="F9" s="341"/>
      <c r="G9" s="104"/>
      <c r="H9" s="104"/>
      <c r="I9" s="104"/>
      <c r="J9" s="56">
        <f t="shared" si="0"/>
        <v>-518673</v>
      </c>
      <c r="K9" s="32">
        <f t="shared" si="1"/>
        <v>24284760</v>
      </c>
      <c r="L9" s="32">
        <v>21220539</v>
      </c>
      <c r="M9" s="32">
        <f t="shared" ref="M9:M37" si="2">AVERAGE(K9:L9)</f>
        <v>22752649.5</v>
      </c>
    </row>
    <row r="10" spans="1:13" ht="15" customHeight="1" x14ac:dyDescent="0.2">
      <c r="A10" s="69" t="s">
        <v>5</v>
      </c>
      <c r="B10" s="97" t="s">
        <v>112</v>
      </c>
      <c r="C10" s="106">
        <f>152754+7723189+7904975+1185517</f>
        <v>16966435</v>
      </c>
      <c r="D10" s="357">
        <v>-6922</v>
      </c>
      <c r="E10" s="8">
        <v>5235</v>
      </c>
      <c r="F10" s="341"/>
      <c r="G10" s="145">
        <v>436023.56972403801</v>
      </c>
      <c r="H10" s="145">
        <v>370458</v>
      </c>
      <c r="I10" s="145">
        <v>-75565</v>
      </c>
      <c r="J10" s="56">
        <f t="shared" si="0"/>
        <v>729229.56972403801</v>
      </c>
      <c r="K10" s="32">
        <f>+C10+J10</f>
        <v>17695664.569724038</v>
      </c>
      <c r="L10" s="32">
        <v>16876539</v>
      </c>
      <c r="M10" s="32">
        <f t="shared" si="2"/>
        <v>17286101.784862019</v>
      </c>
    </row>
    <row r="11" spans="1:13" ht="15" customHeight="1" x14ac:dyDescent="0.2">
      <c r="A11" s="69" t="s">
        <v>6</v>
      </c>
      <c r="B11" s="3" t="s">
        <v>7</v>
      </c>
      <c r="C11" s="106">
        <f>1180336+9418170</f>
        <v>10598506</v>
      </c>
      <c r="D11" s="357">
        <v>-2259</v>
      </c>
      <c r="E11" s="8">
        <v>-535934</v>
      </c>
      <c r="F11" s="363">
        <v>185092</v>
      </c>
      <c r="G11" s="104"/>
      <c r="H11" s="8"/>
      <c r="I11" s="8"/>
      <c r="J11" s="56">
        <f t="shared" si="0"/>
        <v>-353101</v>
      </c>
      <c r="K11" s="32">
        <f t="shared" si="1"/>
        <v>10245405</v>
      </c>
      <c r="L11" s="32">
        <v>9692094</v>
      </c>
      <c r="M11" s="32">
        <f t="shared" si="2"/>
        <v>9968749.5</v>
      </c>
    </row>
    <row r="12" spans="1:13" ht="15" customHeight="1" x14ac:dyDescent="0.2">
      <c r="A12" s="69" t="s">
        <v>8</v>
      </c>
      <c r="B12" s="3" t="s">
        <v>9</v>
      </c>
      <c r="C12" s="106">
        <f>149189+20067342</f>
        <v>20216531</v>
      </c>
      <c r="D12" s="357">
        <v>42528</v>
      </c>
      <c r="E12" s="8">
        <v>1566200</v>
      </c>
      <c r="F12" s="341"/>
      <c r="G12" s="104"/>
      <c r="H12" s="8"/>
      <c r="I12" s="8"/>
      <c r="J12" s="56">
        <f t="shared" si="0"/>
        <v>1608728</v>
      </c>
      <c r="K12" s="32">
        <f t="shared" si="1"/>
        <v>21825259</v>
      </c>
      <c r="L12" s="32">
        <v>19788846</v>
      </c>
      <c r="M12" s="32">
        <f t="shared" si="2"/>
        <v>20807052.5</v>
      </c>
    </row>
    <row r="13" spans="1:13" ht="15" customHeight="1" x14ac:dyDescent="0.2">
      <c r="A13" s="69" t="s">
        <v>10</v>
      </c>
      <c r="B13" s="3" t="s">
        <v>144</v>
      </c>
      <c r="C13" s="106">
        <f>260670+16997233</f>
        <v>17257903</v>
      </c>
      <c r="D13" s="357">
        <v>1824</v>
      </c>
      <c r="E13" s="8">
        <v>506745</v>
      </c>
      <c r="F13" s="341"/>
      <c r="G13" s="104"/>
      <c r="H13" s="8"/>
      <c r="I13" s="8"/>
      <c r="J13" s="56">
        <f t="shared" si="0"/>
        <v>508569</v>
      </c>
      <c r="K13" s="32">
        <f t="shared" ref="K13:K37" si="3">+C13+J13</f>
        <v>17766472</v>
      </c>
      <c r="L13" s="32">
        <v>17193247</v>
      </c>
      <c r="M13" s="32">
        <f t="shared" si="2"/>
        <v>17479859.5</v>
      </c>
    </row>
    <row r="14" spans="1:13" ht="15" customHeight="1" x14ac:dyDescent="0.2">
      <c r="A14" s="69" t="s">
        <v>12</v>
      </c>
      <c r="B14" s="3" t="s">
        <v>13</v>
      </c>
      <c r="C14" s="106">
        <f>731699+3404220+120151</f>
        <v>4256070</v>
      </c>
      <c r="D14" s="357">
        <v>-133202</v>
      </c>
      <c r="E14" s="8">
        <v>-1281048</v>
      </c>
      <c r="F14" s="341"/>
      <c r="G14" s="104"/>
      <c r="H14" s="8">
        <v>-95116</v>
      </c>
      <c r="I14" s="8"/>
      <c r="J14" s="56">
        <f t="shared" ref="J14:J37" si="4">SUM(D14:I14)</f>
        <v>-1509366</v>
      </c>
      <c r="K14" s="32">
        <f t="shared" si="3"/>
        <v>2746704</v>
      </c>
      <c r="L14" s="32">
        <v>2523656</v>
      </c>
      <c r="M14" s="32">
        <f t="shared" si="2"/>
        <v>2635180</v>
      </c>
    </row>
    <row r="15" spans="1:13" ht="15" customHeight="1" x14ac:dyDescent="0.2">
      <c r="A15" s="69" t="s">
        <v>14</v>
      </c>
      <c r="B15" s="3" t="s">
        <v>137</v>
      </c>
      <c r="C15" s="106">
        <f>437269+14660956</f>
        <v>15098225</v>
      </c>
      <c r="D15" s="357">
        <v>-178091</v>
      </c>
      <c r="E15" s="8">
        <v>-1075211</v>
      </c>
      <c r="F15" s="341"/>
      <c r="G15" s="104"/>
      <c r="H15" s="8"/>
      <c r="I15" s="8"/>
      <c r="J15" s="56">
        <f t="shared" ref="J15:J20" si="5">SUM(D15:I15)</f>
        <v>-1253302</v>
      </c>
      <c r="K15" s="32">
        <f t="shared" si="3"/>
        <v>13844923</v>
      </c>
      <c r="L15" s="32">
        <v>12968708</v>
      </c>
      <c r="M15" s="32">
        <f t="shared" si="2"/>
        <v>13406815.5</v>
      </c>
    </row>
    <row r="16" spans="1:13" ht="15" customHeight="1" x14ac:dyDescent="0.2">
      <c r="A16" s="69" t="s">
        <v>16</v>
      </c>
      <c r="B16" s="3" t="s">
        <v>17</v>
      </c>
      <c r="C16" s="106">
        <f>315778+10684716</f>
        <v>11000494</v>
      </c>
      <c r="D16" s="357">
        <v>13886</v>
      </c>
      <c r="E16" s="8">
        <v>38041</v>
      </c>
      <c r="F16" s="341"/>
      <c r="G16" s="104"/>
      <c r="H16" s="8"/>
      <c r="I16" s="8"/>
      <c r="J16" s="56">
        <f t="shared" si="5"/>
        <v>51927</v>
      </c>
      <c r="K16" s="32">
        <f t="shared" si="3"/>
        <v>11052421</v>
      </c>
      <c r="L16" s="32">
        <v>10430089</v>
      </c>
      <c r="M16" s="32">
        <f t="shared" si="2"/>
        <v>10741255</v>
      </c>
    </row>
    <row r="17" spans="1:13" ht="15" customHeight="1" x14ac:dyDescent="0.2">
      <c r="A17" s="69" t="s">
        <v>18</v>
      </c>
      <c r="B17" s="3" t="s">
        <v>138</v>
      </c>
      <c r="C17" s="106">
        <f>6044854+15692068+2603894+639323</f>
        <v>24980139</v>
      </c>
      <c r="D17" s="357"/>
      <c r="E17" s="8">
        <v>-693871</v>
      </c>
      <c r="F17" s="341"/>
      <c r="G17" s="145">
        <v>362762.949318789</v>
      </c>
      <c r="H17" s="145">
        <v>-364449</v>
      </c>
      <c r="I17" s="145">
        <f>112494</f>
        <v>112494</v>
      </c>
      <c r="J17" s="56">
        <f t="shared" si="5"/>
        <v>-583063.05068121105</v>
      </c>
      <c r="K17" s="32">
        <f t="shared" si="3"/>
        <v>24397075.949318789</v>
      </c>
      <c r="L17" s="32">
        <v>22248145</v>
      </c>
      <c r="M17" s="32">
        <f t="shared" si="2"/>
        <v>23322610.474659394</v>
      </c>
    </row>
    <row r="18" spans="1:13" ht="15" customHeight="1" x14ac:dyDescent="0.2">
      <c r="A18" s="69" t="s">
        <v>19</v>
      </c>
      <c r="B18" s="3" t="s">
        <v>127</v>
      </c>
      <c r="C18" s="106">
        <f>113547+16717616</f>
        <v>16831163</v>
      </c>
      <c r="D18" s="357">
        <v>840</v>
      </c>
      <c r="E18" s="8">
        <v>40670</v>
      </c>
      <c r="F18" s="341"/>
      <c r="G18" s="104"/>
      <c r="H18" s="104"/>
      <c r="I18" s="8"/>
      <c r="J18" s="56">
        <f t="shared" si="5"/>
        <v>41510</v>
      </c>
      <c r="K18" s="32">
        <f t="shared" si="3"/>
        <v>16872673</v>
      </c>
      <c r="L18" s="32">
        <v>15324769</v>
      </c>
      <c r="M18" s="32">
        <f t="shared" si="2"/>
        <v>16098721</v>
      </c>
    </row>
    <row r="19" spans="1:13" ht="15" customHeight="1" x14ac:dyDescent="0.2">
      <c r="A19" s="70" t="s">
        <v>294</v>
      </c>
      <c r="B19" s="3" t="s">
        <v>293</v>
      </c>
      <c r="C19" s="106">
        <f>382035+10525304</f>
        <v>10907339</v>
      </c>
      <c r="D19" s="357">
        <v>-79008</v>
      </c>
      <c r="E19" s="8">
        <f>-513604</f>
        <v>-513604</v>
      </c>
      <c r="F19" s="341"/>
      <c r="G19" s="104"/>
      <c r="H19" s="8"/>
      <c r="I19" s="8"/>
      <c r="J19" s="56">
        <f t="shared" si="5"/>
        <v>-592612</v>
      </c>
      <c r="K19" s="32">
        <f>+C19+J19</f>
        <v>10314727</v>
      </c>
      <c r="L19" s="32">
        <v>9985510</v>
      </c>
      <c r="M19" s="32">
        <f>AVERAGE(K19:L19)</f>
        <v>10150118.5</v>
      </c>
    </row>
    <row r="20" spans="1:13" ht="14.25" customHeight="1" x14ac:dyDescent="0.2">
      <c r="A20" s="69" t="s">
        <v>21</v>
      </c>
      <c r="B20" s="97" t="s">
        <v>174</v>
      </c>
      <c r="C20" s="107">
        <f>248480+5768808</f>
        <v>6017288</v>
      </c>
      <c r="D20" s="357">
        <v>-44771</v>
      </c>
      <c r="E20" s="8">
        <v>-239750</v>
      </c>
      <c r="F20" s="341"/>
      <c r="G20" s="104"/>
      <c r="H20" s="8"/>
      <c r="I20" s="8"/>
      <c r="J20" s="56">
        <f t="shared" si="5"/>
        <v>-284521</v>
      </c>
      <c r="K20" s="32">
        <f t="shared" si="3"/>
        <v>5732767</v>
      </c>
      <c r="L20" s="32">
        <v>5198041</v>
      </c>
      <c r="M20" s="32">
        <f t="shared" si="2"/>
        <v>5465404</v>
      </c>
    </row>
    <row r="21" spans="1:13" ht="15" customHeight="1" x14ac:dyDescent="0.2">
      <c r="A21" s="70" t="s">
        <v>108</v>
      </c>
      <c r="B21" s="3" t="s">
        <v>139</v>
      </c>
      <c r="C21" s="106">
        <f>758736+13972033</f>
        <v>14730769</v>
      </c>
      <c r="D21" s="357">
        <v>-6204</v>
      </c>
      <c r="E21" s="8">
        <v>-1020572</v>
      </c>
      <c r="F21" s="341"/>
      <c r="G21" s="104"/>
      <c r="H21" s="8"/>
      <c r="I21" s="8"/>
      <c r="J21" s="56">
        <f t="shared" si="4"/>
        <v>-1026776</v>
      </c>
      <c r="K21" s="32">
        <f t="shared" si="3"/>
        <v>13703993</v>
      </c>
      <c r="L21" s="32">
        <v>12582514</v>
      </c>
      <c r="M21" s="32">
        <f t="shared" si="2"/>
        <v>13143253.5</v>
      </c>
    </row>
    <row r="22" spans="1:13" ht="15" customHeight="1" x14ac:dyDescent="0.2">
      <c r="A22" s="69" t="s">
        <v>26</v>
      </c>
      <c r="B22" s="3" t="s">
        <v>62</v>
      </c>
      <c r="C22" s="106">
        <f>4853+6145163+8749999+3988395+334039</f>
        <v>19222449</v>
      </c>
      <c r="D22" s="357">
        <v>-531</v>
      </c>
      <c r="E22" s="8">
        <v>27353</v>
      </c>
      <c r="F22" s="341"/>
      <c r="G22" s="145">
        <v>432619.19229448301</v>
      </c>
      <c r="H22" s="145">
        <v>-202488</v>
      </c>
      <c r="I22" s="145">
        <v>-38391</v>
      </c>
      <c r="J22" s="56">
        <f t="shared" si="4"/>
        <v>218562.19229448301</v>
      </c>
      <c r="K22" s="32">
        <f t="shared" si="3"/>
        <v>19441011.192294482</v>
      </c>
      <c r="L22" s="32">
        <v>18207793</v>
      </c>
      <c r="M22" s="32">
        <f t="shared" si="2"/>
        <v>18824402.096147239</v>
      </c>
    </row>
    <row r="23" spans="1:13" ht="15" customHeight="1" x14ac:dyDescent="0.2">
      <c r="A23" s="69" t="s">
        <v>22</v>
      </c>
      <c r="B23" s="3" t="s">
        <v>23</v>
      </c>
      <c r="C23" s="106">
        <f>444274+18000322+20477525+6667231+245657</f>
        <v>45835009</v>
      </c>
      <c r="D23" s="357">
        <v>81368</v>
      </c>
      <c r="E23" s="8">
        <v>5553826</v>
      </c>
      <c r="F23" s="341"/>
      <c r="G23" s="145">
        <v>1197918.91119823</v>
      </c>
      <c r="H23" s="145">
        <v>1872642</v>
      </c>
      <c r="I23" s="145">
        <f>278115+193237</f>
        <v>471352</v>
      </c>
      <c r="J23" s="56">
        <f t="shared" si="4"/>
        <v>9177106.9111982305</v>
      </c>
      <c r="K23" s="32">
        <f t="shared" si="3"/>
        <v>55012115.911198229</v>
      </c>
      <c r="L23" s="32">
        <v>49230814</v>
      </c>
      <c r="M23" s="32">
        <f t="shared" si="2"/>
        <v>52121464.955599114</v>
      </c>
    </row>
    <row r="24" spans="1:13" ht="15" customHeight="1" x14ac:dyDescent="0.2">
      <c r="A24" s="69" t="s">
        <v>24</v>
      </c>
      <c r="B24" s="3" t="s">
        <v>135</v>
      </c>
      <c r="C24" s="106">
        <f>378493+8819355</f>
        <v>9197848</v>
      </c>
      <c r="D24" s="357">
        <v>-36680</v>
      </c>
      <c r="E24" s="8">
        <v>147875</v>
      </c>
      <c r="F24" s="342">
        <v>98902</v>
      </c>
      <c r="G24" s="104"/>
      <c r="H24" s="8"/>
      <c r="I24" s="8"/>
      <c r="J24" s="56">
        <f t="shared" si="4"/>
        <v>210097</v>
      </c>
      <c r="K24" s="32">
        <f t="shared" si="3"/>
        <v>9407945</v>
      </c>
      <c r="L24" s="32">
        <v>8678047</v>
      </c>
      <c r="M24" s="32">
        <f t="shared" si="2"/>
        <v>9042996</v>
      </c>
    </row>
    <row r="25" spans="1:13" ht="15" customHeight="1" x14ac:dyDescent="0.2">
      <c r="A25" s="69" t="s">
        <v>27</v>
      </c>
      <c r="B25" s="3" t="s">
        <v>130</v>
      </c>
      <c r="C25" s="106">
        <f>419095+21315030</f>
        <v>21734125</v>
      </c>
      <c r="D25" s="357">
        <v>17807</v>
      </c>
      <c r="E25" s="8">
        <v>1047712</v>
      </c>
      <c r="F25" s="341"/>
      <c r="G25" s="104"/>
      <c r="H25" s="104"/>
      <c r="I25" s="8"/>
      <c r="J25" s="56">
        <f t="shared" si="4"/>
        <v>1065519</v>
      </c>
      <c r="K25" s="32">
        <f t="shared" si="3"/>
        <v>22799644</v>
      </c>
      <c r="L25" s="32">
        <v>20904006</v>
      </c>
      <c r="M25" s="32">
        <f t="shared" si="2"/>
        <v>21851825</v>
      </c>
    </row>
    <row r="26" spans="1:13" ht="15" customHeight="1" x14ac:dyDescent="0.2">
      <c r="A26" s="69" t="s">
        <v>29</v>
      </c>
      <c r="B26" s="364" t="s">
        <v>131</v>
      </c>
      <c r="C26" s="106">
        <f>98356+13935339</f>
        <v>14033695</v>
      </c>
      <c r="D26" s="357">
        <v>6660</v>
      </c>
      <c r="E26" s="8">
        <v>-1194350</v>
      </c>
      <c r="F26" s="341"/>
      <c r="G26" s="104"/>
      <c r="H26" s="8"/>
      <c r="I26" s="8"/>
      <c r="J26" s="56">
        <f t="shared" si="4"/>
        <v>-1187690</v>
      </c>
      <c r="K26" s="32">
        <f t="shared" si="3"/>
        <v>12846005</v>
      </c>
      <c r="L26" s="32">
        <v>11523139</v>
      </c>
      <c r="M26" s="32">
        <f t="shared" si="2"/>
        <v>12184572</v>
      </c>
    </row>
    <row r="27" spans="1:13" ht="15" customHeight="1" x14ac:dyDescent="0.2">
      <c r="A27" s="69" t="s">
        <v>31</v>
      </c>
      <c r="B27" s="3" t="s">
        <v>132</v>
      </c>
      <c r="C27" s="106">
        <f>180601+8940707</f>
        <v>9121308</v>
      </c>
      <c r="D27" s="357">
        <v>-84119</v>
      </c>
      <c r="E27" s="8">
        <v>-1594959</v>
      </c>
      <c r="F27" s="342">
        <v>24148</v>
      </c>
      <c r="G27" s="104"/>
      <c r="H27" s="8"/>
      <c r="I27" s="8"/>
      <c r="J27" s="56">
        <f>SUM(D27:I27)</f>
        <v>-1654930</v>
      </c>
      <c r="K27" s="32">
        <f>+C27+J27</f>
        <v>7466378</v>
      </c>
      <c r="L27" s="32">
        <v>7297750</v>
      </c>
      <c r="M27" s="32">
        <f t="shared" si="2"/>
        <v>7382064</v>
      </c>
    </row>
    <row r="28" spans="1:13" ht="15" customHeight="1" x14ac:dyDescent="0.2">
      <c r="A28" s="69" t="s">
        <v>33</v>
      </c>
      <c r="B28" s="3" t="s">
        <v>128</v>
      </c>
      <c r="C28" s="106">
        <f>256762+3530537</f>
        <v>3787299</v>
      </c>
      <c r="D28" s="357">
        <v>56234</v>
      </c>
      <c r="E28" s="8">
        <v>-273128</v>
      </c>
      <c r="F28" s="341"/>
      <c r="G28" s="104"/>
      <c r="H28" s="8"/>
      <c r="I28" s="8"/>
      <c r="J28" s="56">
        <f>SUM(D28:I28)</f>
        <v>-216894</v>
      </c>
      <c r="K28" s="32">
        <f t="shared" si="3"/>
        <v>3570405</v>
      </c>
      <c r="L28" s="32">
        <v>3294340</v>
      </c>
      <c r="M28" s="32">
        <f t="shared" si="2"/>
        <v>3432372.5</v>
      </c>
    </row>
    <row r="29" spans="1:13" ht="15" customHeight="1" x14ac:dyDescent="0.2">
      <c r="A29" s="69" t="s">
        <v>35</v>
      </c>
      <c r="B29" s="3" t="s">
        <v>36</v>
      </c>
      <c r="C29" s="106">
        <f>44059+10953467</f>
        <v>10997526</v>
      </c>
      <c r="D29" s="357">
        <v>-13085</v>
      </c>
      <c r="E29" s="8">
        <v>-666630</v>
      </c>
      <c r="F29" s="342"/>
      <c r="G29" s="104"/>
      <c r="H29" s="8"/>
      <c r="I29" s="8"/>
      <c r="J29" s="56">
        <f t="shared" si="4"/>
        <v>-679715</v>
      </c>
      <c r="K29" s="32">
        <f t="shared" si="3"/>
        <v>10317811</v>
      </c>
      <c r="L29" s="32">
        <v>10132740</v>
      </c>
      <c r="M29" s="32">
        <f t="shared" si="2"/>
        <v>10225275.5</v>
      </c>
    </row>
    <row r="30" spans="1:13" ht="15" customHeight="1" x14ac:dyDescent="0.2">
      <c r="A30" s="69" t="s">
        <v>37</v>
      </c>
      <c r="B30" s="3" t="s">
        <v>129</v>
      </c>
      <c r="C30" s="106">
        <f>492838+7886265</f>
        <v>8379103</v>
      </c>
      <c r="D30" s="357">
        <v>49463</v>
      </c>
      <c r="E30" s="8">
        <v>-125064</v>
      </c>
      <c r="F30" s="418">
        <v>90966.853860494535</v>
      </c>
      <c r="G30" s="104"/>
      <c r="H30" s="8"/>
      <c r="I30" s="8"/>
      <c r="J30" s="56">
        <f t="shared" si="4"/>
        <v>15365.853860494535</v>
      </c>
      <c r="K30" s="32">
        <f t="shared" si="3"/>
        <v>8394468.8538604937</v>
      </c>
      <c r="L30" s="32">
        <v>7774704</v>
      </c>
      <c r="M30" s="32">
        <f t="shared" si="2"/>
        <v>8084586.4269302469</v>
      </c>
    </row>
    <row r="31" spans="1:13" ht="15" customHeight="1" x14ac:dyDescent="0.2">
      <c r="A31" s="69" t="s">
        <v>39</v>
      </c>
      <c r="B31" s="3" t="s">
        <v>133</v>
      </c>
      <c r="C31" s="106">
        <f>130818+13222341</f>
        <v>13353159</v>
      </c>
      <c r="D31" s="357">
        <v>-522</v>
      </c>
      <c r="E31" s="8">
        <v>-143259</v>
      </c>
      <c r="F31" s="129"/>
      <c r="G31" s="104"/>
      <c r="H31" s="8"/>
      <c r="I31" s="8"/>
      <c r="J31" s="56">
        <f t="shared" si="4"/>
        <v>-143781</v>
      </c>
      <c r="K31" s="32">
        <f t="shared" si="3"/>
        <v>13209378</v>
      </c>
      <c r="L31" s="32">
        <v>11760353</v>
      </c>
      <c r="M31" s="32">
        <f t="shared" si="2"/>
        <v>12484865.5</v>
      </c>
    </row>
    <row r="32" spans="1:13" ht="15" customHeight="1" x14ac:dyDescent="0.2">
      <c r="A32" s="69" t="s">
        <v>46</v>
      </c>
      <c r="B32" s="3" t="s">
        <v>69</v>
      </c>
      <c r="C32" s="106">
        <f>135360+15486577</f>
        <v>15621937</v>
      </c>
      <c r="D32" s="357">
        <v>3222</v>
      </c>
      <c r="E32" s="8">
        <v>-575439</v>
      </c>
      <c r="F32" s="343"/>
      <c r="G32" s="104"/>
      <c r="H32" s="104"/>
      <c r="I32" s="8"/>
      <c r="J32" s="56">
        <f t="shared" si="4"/>
        <v>-572217</v>
      </c>
      <c r="K32" s="32">
        <f t="shared" si="3"/>
        <v>15049720</v>
      </c>
      <c r="L32" s="32">
        <v>13981863</v>
      </c>
      <c r="M32" s="32">
        <f t="shared" si="2"/>
        <v>14515791.5</v>
      </c>
    </row>
    <row r="33" spans="1:13" ht="15" customHeight="1" x14ac:dyDescent="0.2">
      <c r="A33" s="69" t="s">
        <v>41</v>
      </c>
      <c r="B33" s="3" t="s">
        <v>115</v>
      </c>
      <c r="C33" s="106">
        <f>58542+10113115</f>
        <v>10171657</v>
      </c>
      <c r="D33" s="357">
        <v>17990</v>
      </c>
      <c r="E33" s="8">
        <v>-512319</v>
      </c>
      <c r="F33" s="342">
        <v>181801</v>
      </c>
      <c r="G33" s="104"/>
      <c r="H33" s="8"/>
      <c r="I33" s="8"/>
      <c r="J33" s="56">
        <f t="shared" si="4"/>
        <v>-312528</v>
      </c>
      <c r="K33" s="32">
        <f t="shared" si="3"/>
        <v>9859129</v>
      </c>
      <c r="L33" s="32">
        <v>9665462</v>
      </c>
      <c r="M33" s="32">
        <f t="shared" si="2"/>
        <v>9762295.5</v>
      </c>
    </row>
    <row r="34" spans="1:13" ht="15" customHeight="1" x14ac:dyDescent="0.2">
      <c r="A34" s="69" t="s">
        <v>42</v>
      </c>
      <c r="B34" s="3" t="s">
        <v>68</v>
      </c>
      <c r="C34" s="106">
        <f>1743832+3999272+4929123+1644424</f>
        <v>12316651</v>
      </c>
      <c r="D34" s="357">
        <v>-22399</v>
      </c>
      <c r="E34" s="8">
        <v>-171840</v>
      </c>
      <c r="F34" s="343"/>
      <c r="G34" s="145">
        <v>347470.64925192902</v>
      </c>
      <c r="H34" s="145">
        <v>-152446</v>
      </c>
      <c r="I34" s="145">
        <v>154759</v>
      </c>
      <c r="J34" s="56">
        <f t="shared" si="4"/>
        <v>155544.64925192902</v>
      </c>
      <c r="K34" s="32">
        <f>+C34+J34</f>
        <v>12472195.649251929</v>
      </c>
      <c r="L34" s="32">
        <v>11165712</v>
      </c>
      <c r="M34" s="32">
        <f t="shared" si="2"/>
        <v>11818953.824625965</v>
      </c>
    </row>
    <row r="35" spans="1:13" ht="15" customHeight="1" x14ac:dyDescent="0.2">
      <c r="A35" s="69" t="s">
        <v>43</v>
      </c>
      <c r="B35" s="3" t="s">
        <v>44</v>
      </c>
      <c r="C35" s="106">
        <f>851703+14275282+12541712+8588937+429071</f>
        <v>36686705</v>
      </c>
      <c r="D35" s="357">
        <v>-25754</v>
      </c>
      <c r="E35" s="8">
        <v>-2560888</v>
      </c>
      <c r="F35" s="341"/>
      <c r="G35" s="145">
        <v>1138638.97136889</v>
      </c>
      <c r="H35" s="145">
        <v>-392656</v>
      </c>
      <c r="I35" s="145">
        <v>-142607</v>
      </c>
      <c r="J35" s="56">
        <f t="shared" si="4"/>
        <v>-1983266.02863111</v>
      </c>
      <c r="K35" s="32">
        <f t="shared" si="3"/>
        <v>34703438.971368887</v>
      </c>
      <c r="L35" s="32">
        <v>33267642</v>
      </c>
      <c r="M35" s="32">
        <f t="shared" si="2"/>
        <v>33985540.48568444</v>
      </c>
    </row>
    <row r="36" spans="1:13" ht="15" customHeight="1" x14ac:dyDescent="0.2">
      <c r="A36" s="69" t="s">
        <v>45</v>
      </c>
      <c r="B36" s="3" t="s">
        <v>134</v>
      </c>
      <c r="C36" s="106">
        <f>70375+11157061</f>
        <v>11227436</v>
      </c>
      <c r="D36" s="357">
        <v>-50498</v>
      </c>
      <c r="E36" s="8">
        <v>299239</v>
      </c>
      <c r="F36" s="341"/>
      <c r="G36" s="104"/>
      <c r="H36" s="8"/>
      <c r="I36" s="8"/>
      <c r="J36" s="56">
        <f t="shared" si="4"/>
        <v>248741</v>
      </c>
      <c r="K36" s="32">
        <f t="shared" si="3"/>
        <v>11476177</v>
      </c>
      <c r="L36" s="32">
        <v>10803346</v>
      </c>
      <c r="M36" s="32">
        <f t="shared" si="2"/>
        <v>11139761.5</v>
      </c>
    </row>
    <row r="37" spans="1:13" ht="15" customHeight="1" x14ac:dyDescent="0.2">
      <c r="A37" s="69" t="s">
        <v>47</v>
      </c>
      <c r="B37" s="3" t="s">
        <v>48</v>
      </c>
      <c r="C37" s="106">
        <f>9693123+15210054+4492368+2529749</f>
        <v>31925294</v>
      </c>
      <c r="D37" s="357"/>
      <c r="E37" s="8">
        <v>-29265</v>
      </c>
      <c r="F37" s="341"/>
      <c r="G37" s="145">
        <v>746625.15458409302</v>
      </c>
      <c r="H37" s="145">
        <v>-1512962</v>
      </c>
      <c r="I37" s="145">
        <f>-360325-24040</f>
        <v>-384365</v>
      </c>
      <c r="J37" s="56">
        <f t="shared" si="4"/>
        <v>-1179966.845415907</v>
      </c>
      <c r="K37" s="32">
        <f t="shared" si="3"/>
        <v>30745327.154584095</v>
      </c>
      <c r="L37" s="32">
        <v>25668369</v>
      </c>
      <c r="M37" s="32">
        <f t="shared" si="2"/>
        <v>28206848.077292047</v>
      </c>
    </row>
    <row r="39" spans="1:13" ht="15" customHeight="1" x14ac:dyDescent="0.2">
      <c r="B39" s="52" t="s">
        <v>49</v>
      </c>
      <c r="C39" s="11">
        <f t="shared" ref="C39:M39" si="6">SUM(C8:C38)</f>
        <v>475268029</v>
      </c>
      <c r="D39" s="11">
        <f t="shared" si="6"/>
        <v>-191169</v>
      </c>
      <c r="E39" s="11">
        <f t="shared" si="6"/>
        <v>-4204237</v>
      </c>
      <c r="F39" s="11">
        <f t="shared" si="6"/>
        <v>580909.85386049456</v>
      </c>
      <c r="G39" s="11">
        <f t="shared" si="6"/>
        <v>4662059.3977404516</v>
      </c>
      <c r="H39" s="11">
        <f t="shared" si="6"/>
        <v>-477017</v>
      </c>
      <c r="I39" s="11">
        <f t="shared" si="6"/>
        <v>97677</v>
      </c>
      <c r="J39" s="58">
        <f t="shared" si="6"/>
        <v>468223.25160094746</v>
      </c>
      <c r="K39" s="16">
        <f t="shared" si="6"/>
        <v>475736252.25160098</v>
      </c>
      <c r="L39" s="16">
        <f t="shared" si="6"/>
        <v>437364817</v>
      </c>
      <c r="M39" s="16">
        <f t="shared" si="6"/>
        <v>456550534.62580043</v>
      </c>
    </row>
    <row r="40" spans="1:13" ht="12" customHeight="1" x14ac:dyDescent="0.2">
      <c r="C40" s="11"/>
      <c r="K40" s="16"/>
      <c r="L40" s="16"/>
      <c r="M40" s="16"/>
    </row>
    <row r="41" spans="1:13" ht="12" customHeight="1" x14ac:dyDescent="0.2">
      <c r="A41" s="15" t="s">
        <v>301</v>
      </c>
    </row>
    <row r="42" spans="1:13" ht="12" customHeight="1" x14ac:dyDescent="0.2">
      <c r="A42" s="71" t="str">
        <f>'FY2015 Detail'!B40</f>
        <v>s:\finance\bargain\FY26 allocation\Summary of FY2026 Institutional Allocation Draft</v>
      </c>
      <c r="E42" s="146"/>
      <c r="F42" s="146"/>
      <c r="G42" s="146"/>
      <c r="H42" s="146"/>
    </row>
    <row r="43" spans="1:13" ht="12" customHeight="1" x14ac:dyDescent="0.2">
      <c r="A43" s="71"/>
      <c r="E43" s="146"/>
      <c r="F43" s="146"/>
      <c r="G43" s="146"/>
      <c r="H43" s="146"/>
    </row>
    <row r="44" spans="1:13" ht="15" customHeight="1" x14ac:dyDescent="0.2">
      <c r="C44" s="16"/>
      <c r="E44" s="16"/>
      <c r="H44" s="147"/>
      <c r="K44" s="16"/>
      <c r="L44" s="16"/>
      <c r="M44" s="32"/>
    </row>
    <row r="45" spans="1:13" ht="15" customHeight="1" x14ac:dyDescent="0.2">
      <c r="C45" s="48"/>
    </row>
    <row r="47" spans="1:13" ht="15" customHeight="1" x14ac:dyDescent="0.2">
      <c r="E47" s="148"/>
      <c r="F47" s="148"/>
      <c r="G47" s="148"/>
    </row>
    <row r="49" spans="8:8" ht="15" customHeight="1" x14ac:dyDescent="0.2">
      <c r="H49" s="148"/>
    </row>
  </sheetData>
  <phoneticPr fontId="11" type="noConversion"/>
  <pageMargins left="0.31" right="0.13" top="0.56000000000000005" bottom="0.24" header="0.5" footer="0.21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I44"/>
  <sheetViews>
    <sheetView zoomScale="98" zoomScaleNormal="98" workbookViewId="0">
      <selection activeCell="G35" sqref="G35"/>
    </sheetView>
  </sheetViews>
  <sheetFormatPr defaultColWidth="9.140625" defaultRowHeight="15" customHeight="1" x14ac:dyDescent="0.2"/>
  <cols>
    <col min="1" max="1" width="6.28515625" customWidth="1"/>
    <col min="2" max="2" width="32.28515625" customWidth="1"/>
    <col min="3" max="3" width="22.85546875" customWidth="1"/>
    <col min="4" max="4" width="17.42578125" customWidth="1"/>
    <col min="5" max="5" width="23.85546875" customWidth="1"/>
    <col min="6" max="6" width="10.28515625" style="16" customWidth="1"/>
    <col min="7" max="7" width="24.7109375" style="83" customWidth="1"/>
  </cols>
  <sheetData>
    <row r="1" spans="1:9" ht="15" customHeight="1" x14ac:dyDescent="0.25">
      <c r="A1" s="33" t="s">
        <v>71</v>
      </c>
      <c r="G1" s="351" t="s">
        <v>265</v>
      </c>
    </row>
    <row r="2" spans="1:9" ht="15" customHeight="1" x14ac:dyDescent="0.2">
      <c r="A2" s="4" t="s">
        <v>86</v>
      </c>
    </row>
    <row r="3" spans="1:9" ht="15" customHeight="1" x14ac:dyDescent="0.2">
      <c r="A3" s="4" t="s">
        <v>303</v>
      </c>
      <c r="I3" s="4"/>
    </row>
    <row r="4" spans="1:9" ht="15" customHeight="1" x14ac:dyDescent="0.2">
      <c r="A4" s="4" t="s">
        <v>173</v>
      </c>
      <c r="E4" s="19" t="s">
        <v>114</v>
      </c>
      <c r="G4" s="110" t="s">
        <v>87</v>
      </c>
    </row>
    <row r="5" spans="1:9" s="19" customFormat="1" ht="15" customHeight="1" x14ac:dyDescent="0.2">
      <c r="C5" s="19" t="s">
        <v>78</v>
      </c>
      <c r="D5" s="19" t="s">
        <v>73</v>
      </c>
      <c r="E5" s="19" t="s">
        <v>74</v>
      </c>
      <c r="F5" s="111" t="s">
        <v>75</v>
      </c>
      <c r="G5" s="110" t="s">
        <v>76</v>
      </c>
    </row>
    <row r="6" spans="1:9" ht="42" customHeight="1" x14ac:dyDescent="0.2">
      <c r="A6" s="112" t="s">
        <v>0</v>
      </c>
      <c r="B6" s="112" t="s">
        <v>1</v>
      </c>
      <c r="C6" s="113" t="s">
        <v>304</v>
      </c>
      <c r="D6" s="114" t="s">
        <v>117</v>
      </c>
      <c r="E6" s="113" t="s">
        <v>305</v>
      </c>
      <c r="F6" s="112" t="s">
        <v>302</v>
      </c>
      <c r="G6" s="115" t="s">
        <v>88</v>
      </c>
    </row>
    <row r="7" spans="1:9" ht="15" customHeight="1" x14ac:dyDescent="0.2">
      <c r="A7" s="116"/>
      <c r="B7" s="116"/>
      <c r="C7" s="117"/>
      <c r="D7" s="118"/>
      <c r="E7" s="118"/>
      <c r="F7" s="119"/>
    </row>
    <row r="8" spans="1:9" ht="15" customHeight="1" x14ac:dyDescent="0.2">
      <c r="A8" s="10" t="s">
        <v>2</v>
      </c>
      <c r="B8" s="3" t="s">
        <v>126</v>
      </c>
      <c r="C8" s="414">
        <v>2477722.33</v>
      </c>
      <c r="D8" s="120">
        <f>'Revenue Offset'!G8</f>
        <v>0.44033077247037733</v>
      </c>
      <c r="E8" s="121">
        <f t="shared" ref="E8:E13" si="0">C8*(1-D8)</f>
        <v>1386704.9424639968</v>
      </c>
      <c r="F8" s="17">
        <f>Summary!D6</f>
        <v>1927</v>
      </c>
      <c r="G8" s="379">
        <f>E8/F8</f>
        <v>719.61854824286286</v>
      </c>
      <c r="H8" s="125"/>
      <c r="I8" s="11"/>
    </row>
    <row r="9" spans="1:9" ht="15" customHeight="1" x14ac:dyDescent="0.2">
      <c r="A9" s="10" t="s">
        <v>4</v>
      </c>
      <c r="B9" s="3" t="s">
        <v>122</v>
      </c>
      <c r="C9" s="414">
        <v>10833485.75</v>
      </c>
      <c r="D9" s="120">
        <f>'Revenue Offset'!G9</f>
        <v>0.46741428016337599</v>
      </c>
      <c r="E9" s="121">
        <f>C9*(1-D9)</f>
        <v>5769759.8065035576</v>
      </c>
      <c r="F9" s="17">
        <f>Summary!D7</f>
        <v>5994</v>
      </c>
      <c r="G9" s="379">
        <f t="shared" ref="G9:G37" si="1">E9/F9</f>
        <v>962.58922364090051</v>
      </c>
      <c r="H9" s="125"/>
      <c r="I9" s="11"/>
    </row>
    <row r="10" spans="1:9" ht="15" customHeight="1" x14ac:dyDescent="0.2">
      <c r="A10" s="10" t="s">
        <v>5</v>
      </c>
      <c r="B10" s="3" t="s">
        <v>112</v>
      </c>
      <c r="C10" s="415">
        <v>7809375.1900000004</v>
      </c>
      <c r="D10" s="120">
        <f>'Revenue Offset'!G10</f>
        <v>0.51460019407463908</v>
      </c>
      <c r="E10" s="121">
        <f t="shared" si="0"/>
        <v>3790669.2016243287</v>
      </c>
      <c r="F10" s="17">
        <f>Summary!D8</f>
        <v>3764</v>
      </c>
      <c r="G10" s="379">
        <f t="shared" si="1"/>
        <v>1007.0853351818089</v>
      </c>
      <c r="H10" s="174"/>
      <c r="I10" s="11"/>
    </row>
    <row r="11" spans="1:9" ht="15" customHeight="1" x14ac:dyDescent="0.2">
      <c r="A11" s="10" t="s">
        <v>6</v>
      </c>
      <c r="B11" s="3" t="s">
        <v>7</v>
      </c>
      <c r="C11" s="415">
        <v>4329192.53</v>
      </c>
      <c r="D11" s="120">
        <f>'Revenue Offset'!G11</f>
        <v>0.42113103549241043</v>
      </c>
      <c r="E11" s="121">
        <f t="shared" si="0"/>
        <v>2506035.1969950916</v>
      </c>
      <c r="F11" s="17">
        <f>Summary!D9</f>
        <v>2537</v>
      </c>
      <c r="G11" s="379">
        <f t="shared" si="1"/>
        <v>987.79471698663451</v>
      </c>
      <c r="H11" s="174"/>
      <c r="I11" s="11"/>
    </row>
    <row r="12" spans="1:9" ht="15" customHeight="1" x14ac:dyDescent="0.2">
      <c r="A12" s="10" t="s">
        <v>8</v>
      </c>
      <c r="B12" s="3" t="s">
        <v>9</v>
      </c>
      <c r="C12" s="414">
        <v>8299601.3200000003</v>
      </c>
      <c r="D12" s="120">
        <f>'Revenue Offset'!G12</f>
        <v>0.46286235981594193</v>
      </c>
      <c r="E12" s="121">
        <f t="shared" si="0"/>
        <v>4458028.2674932936</v>
      </c>
      <c r="F12" s="17">
        <f>Summary!D10</f>
        <v>5545</v>
      </c>
      <c r="G12" s="379">
        <f t="shared" si="1"/>
        <v>803.97263615749205</v>
      </c>
      <c r="H12" s="174"/>
      <c r="I12" s="11"/>
    </row>
    <row r="13" spans="1:9" ht="15" customHeight="1" x14ac:dyDescent="0.2">
      <c r="A13" s="10" t="s">
        <v>10</v>
      </c>
      <c r="B13" s="3" t="s">
        <v>144</v>
      </c>
      <c r="C13" s="414">
        <v>6744845.5800000001</v>
      </c>
      <c r="D13" s="120">
        <f>'Revenue Offset'!G13</f>
        <v>0.43292684964817507</v>
      </c>
      <c r="E13" s="121">
        <f t="shared" si="0"/>
        <v>3824820.8316871817</v>
      </c>
      <c r="F13" s="17">
        <f>Summary!D11</f>
        <v>4229</v>
      </c>
      <c r="G13" s="379">
        <f t="shared" si="1"/>
        <v>904.42677505017298</v>
      </c>
      <c r="H13" s="174"/>
      <c r="I13" s="11"/>
    </row>
    <row r="14" spans="1:9" ht="15" customHeight="1" x14ac:dyDescent="0.2">
      <c r="A14" s="10" t="s">
        <v>12</v>
      </c>
      <c r="B14" s="3" t="s">
        <v>13</v>
      </c>
      <c r="C14" s="414">
        <v>1963116.17</v>
      </c>
      <c r="D14" s="120">
        <f>'Revenue Offset'!G14</f>
        <v>0.33715193015599199</v>
      </c>
      <c r="E14" s="121">
        <f t="shared" ref="E14:E37" si="2">C14*(1-D14)</f>
        <v>1301247.7641640615</v>
      </c>
      <c r="F14" s="17">
        <f>Summary!D12</f>
        <v>815</v>
      </c>
      <c r="G14" s="379">
        <f t="shared" si="1"/>
        <v>1596.6230235141859</v>
      </c>
      <c r="H14" s="174"/>
      <c r="I14" s="11"/>
    </row>
    <row r="15" spans="1:9" ht="15" customHeight="1" x14ac:dyDescent="0.2">
      <c r="A15" s="10" t="s">
        <v>14</v>
      </c>
      <c r="B15" s="3" t="s">
        <v>137</v>
      </c>
      <c r="C15" s="414">
        <v>5705733.2300000004</v>
      </c>
      <c r="D15" s="120">
        <f>'Revenue Offset'!G15</f>
        <v>0.36904541466123802</v>
      </c>
      <c r="E15" s="121">
        <f t="shared" si="2"/>
        <v>3600058.5441882452</v>
      </c>
      <c r="F15" s="17">
        <f>Summary!D13</f>
        <v>2691</v>
      </c>
      <c r="G15" s="379">
        <f t="shared" si="1"/>
        <v>1337.8143976916556</v>
      </c>
      <c r="H15" s="174"/>
      <c r="I15" s="11"/>
    </row>
    <row r="16" spans="1:9" ht="15" customHeight="1" x14ac:dyDescent="0.2">
      <c r="A16" s="10" t="s">
        <v>16</v>
      </c>
      <c r="B16" s="3" t="s">
        <v>17</v>
      </c>
      <c r="C16" s="414">
        <v>3148136.46</v>
      </c>
      <c r="D16" s="120">
        <f>'Revenue Offset'!G16</f>
        <v>0.39146000294713518</v>
      </c>
      <c r="E16" s="121">
        <f t="shared" si="2"/>
        <v>1915766.9520904163</v>
      </c>
      <c r="F16" s="17">
        <f>Summary!D14</f>
        <v>2445</v>
      </c>
      <c r="G16" s="379">
        <f t="shared" si="1"/>
        <v>783.54476568115183</v>
      </c>
      <c r="H16" s="174"/>
      <c r="I16" s="11"/>
    </row>
    <row r="17" spans="1:9" ht="15" customHeight="1" x14ac:dyDescent="0.2">
      <c r="A17" s="10" t="s">
        <v>18</v>
      </c>
      <c r="B17" s="3" t="s">
        <v>138</v>
      </c>
      <c r="C17" s="414">
        <v>22239823.600000001</v>
      </c>
      <c r="D17" s="120">
        <f>'Revenue Offset'!G17</f>
        <v>0.52255445819623836</v>
      </c>
      <c r="E17" s="121">
        <f t="shared" si="2"/>
        <v>10618304.628322085</v>
      </c>
      <c r="F17" s="17">
        <f>Summary!D15</f>
        <v>4832</v>
      </c>
      <c r="G17" s="379">
        <f t="shared" si="1"/>
        <v>2197.4968187752661</v>
      </c>
      <c r="H17" s="174"/>
      <c r="I17" s="11"/>
    </row>
    <row r="18" spans="1:9" ht="14.25" customHeight="1" x14ac:dyDescent="0.2">
      <c r="A18" s="10" t="s">
        <v>19</v>
      </c>
      <c r="B18" s="3" t="s">
        <v>127</v>
      </c>
      <c r="C18" s="415">
        <v>7944429.9400000004</v>
      </c>
      <c r="D18" s="120">
        <f>'Revenue Offset'!G18</f>
        <v>0.44299468497228722</v>
      </c>
      <c r="E18" s="121">
        <f t="shared" si="2"/>
        <v>4425089.7014452936</v>
      </c>
      <c r="F18" s="17">
        <f>Summary!D16</f>
        <v>4167</v>
      </c>
      <c r="G18" s="379">
        <f t="shared" si="1"/>
        <v>1061.9365734209969</v>
      </c>
      <c r="H18" s="174"/>
      <c r="I18" s="11"/>
    </row>
    <row r="19" spans="1:9" ht="15" customHeight="1" x14ac:dyDescent="0.2">
      <c r="A19" s="34" t="s">
        <v>116</v>
      </c>
      <c r="B19" s="3" t="s">
        <v>293</v>
      </c>
      <c r="C19" s="415">
        <v>2502510.73</v>
      </c>
      <c r="D19" s="120">
        <f>'Revenue Offset'!G19</f>
        <v>0.37885410660078628</v>
      </c>
      <c r="E19" s="121">
        <f>C19*(1-D19)</f>
        <v>1554424.2631269686</v>
      </c>
      <c r="F19" s="17">
        <f>Summary!D17</f>
        <v>2459</v>
      </c>
      <c r="G19" s="379">
        <f>E19/F19</f>
        <v>632.13674791662004</v>
      </c>
      <c r="H19" s="174"/>
      <c r="I19" s="11"/>
    </row>
    <row r="20" spans="1:9" ht="15" customHeight="1" x14ac:dyDescent="0.2">
      <c r="A20" s="10" t="s">
        <v>21</v>
      </c>
      <c r="B20" s="97" t="s">
        <v>174</v>
      </c>
      <c r="C20" s="414">
        <v>2098900.7200000002</v>
      </c>
      <c r="D20" s="120">
        <f>'Revenue Offset'!G20</f>
        <v>0.3926261223615316</v>
      </c>
      <c r="E20" s="121">
        <f t="shared" si="2"/>
        <v>1274817.4690845734</v>
      </c>
      <c r="F20" s="17">
        <f>Summary!D18</f>
        <v>1221</v>
      </c>
      <c r="G20" s="379">
        <f t="shared" si="1"/>
        <v>1044.0765512568169</v>
      </c>
      <c r="H20" s="174"/>
      <c r="I20" s="11"/>
    </row>
    <row r="21" spans="1:9" ht="15" customHeight="1" x14ac:dyDescent="0.2">
      <c r="A21" s="34" t="s">
        <v>108</v>
      </c>
      <c r="B21" s="3" t="s">
        <v>139</v>
      </c>
      <c r="C21" s="414">
        <v>4968309.91</v>
      </c>
      <c r="D21" s="120">
        <f>'Revenue Offset'!G21</f>
        <v>0.402691052440108</v>
      </c>
      <c r="E21" s="121">
        <f t="shared" si="2"/>
        <v>2967615.9634934822</v>
      </c>
      <c r="F21" s="17">
        <f>Summary!D19</f>
        <v>3211</v>
      </c>
      <c r="G21" s="379">
        <f t="shared" si="1"/>
        <v>924.20304063951482</v>
      </c>
      <c r="H21" s="174"/>
      <c r="I21" s="11"/>
    </row>
    <row r="22" spans="1:9" ht="15" customHeight="1" x14ac:dyDescent="0.2">
      <c r="A22" s="10" t="s">
        <v>26</v>
      </c>
      <c r="B22" s="3" t="s">
        <v>62</v>
      </c>
      <c r="C22" s="414">
        <v>13156648.83</v>
      </c>
      <c r="D22" s="120">
        <f>'Revenue Offset'!G22</f>
        <v>0.5390574292998197</v>
      </c>
      <c r="E22" s="121">
        <f t="shared" si="2"/>
        <v>6064459.5334997196</v>
      </c>
      <c r="F22" s="17">
        <f>Summary!D20</f>
        <v>4013</v>
      </c>
      <c r="G22" s="379">
        <f t="shared" si="1"/>
        <v>1511.2034720906354</v>
      </c>
      <c r="H22" s="174"/>
      <c r="I22" s="11"/>
    </row>
    <row r="23" spans="1:9" ht="15" customHeight="1" x14ac:dyDescent="0.2">
      <c r="A23" s="10" t="s">
        <v>22</v>
      </c>
      <c r="B23" s="3" t="s">
        <v>23</v>
      </c>
      <c r="C23" s="414">
        <v>39048701.100000001</v>
      </c>
      <c r="D23" s="120">
        <f>'Revenue Offset'!G23</f>
        <v>0.63724695728014435</v>
      </c>
      <c r="E23" s="121">
        <f t="shared" si="2"/>
        <v>14165035.138283174</v>
      </c>
      <c r="F23" s="17">
        <f>Summary!D21</f>
        <v>13149</v>
      </c>
      <c r="G23" s="379">
        <f t="shared" si="1"/>
        <v>1077.270905641735</v>
      </c>
      <c r="H23" s="174"/>
      <c r="I23" s="11"/>
    </row>
    <row r="24" spans="1:9" ht="15" customHeight="1" x14ac:dyDescent="0.2">
      <c r="A24" s="10" t="s">
        <v>24</v>
      </c>
      <c r="B24" s="3" t="s">
        <v>135</v>
      </c>
      <c r="C24" s="414">
        <v>2435369.17</v>
      </c>
      <c r="D24" s="120">
        <f>'Revenue Offset'!G24</f>
        <v>0.41106785018464187</v>
      </c>
      <c r="E24" s="121">
        <f t="shared" si="2"/>
        <v>1434267.2008821443</v>
      </c>
      <c r="F24" s="17">
        <f>Summary!D22</f>
        <v>1999</v>
      </c>
      <c r="G24" s="379">
        <f t="shared" si="1"/>
        <v>717.49234661437936</v>
      </c>
      <c r="H24" s="174"/>
      <c r="I24" s="11"/>
    </row>
    <row r="25" spans="1:9" ht="15" customHeight="1" x14ac:dyDescent="0.2">
      <c r="A25" s="10" t="s">
        <v>27</v>
      </c>
      <c r="B25" s="3" t="s">
        <v>130</v>
      </c>
      <c r="C25" s="414">
        <v>14482099.050000001</v>
      </c>
      <c r="D25" s="120">
        <f>'Revenue Offset'!G25</f>
        <v>0.50654503600839607</v>
      </c>
      <c r="E25" s="121">
        <f t="shared" si="2"/>
        <v>7146263.6652405923</v>
      </c>
      <c r="F25" s="17">
        <f>Summary!D23</f>
        <v>6481</v>
      </c>
      <c r="G25" s="379">
        <f t="shared" si="1"/>
        <v>1102.6483050826405</v>
      </c>
      <c r="H25" s="174"/>
      <c r="I25" s="11"/>
    </row>
    <row r="26" spans="1:9" ht="15" customHeight="1" x14ac:dyDescent="0.2">
      <c r="A26" s="10" t="s">
        <v>29</v>
      </c>
      <c r="B26" s="3" t="s">
        <v>131</v>
      </c>
      <c r="C26" s="414">
        <v>7331196.7599999998</v>
      </c>
      <c r="D26" s="120">
        <f>'Revenue Offset'!G26</f>
        <v>0.42197326097175397</v>
      </c>
      <c r="E26" s="121">
        <f t="shared" si="2"/>
        <v>4237627.7563572433</v>
      </c>
      <c r="F26" s="17">
        <f>Summary!D24</f>
        <v>3011</v>
      </c>
      <c r="G26" s="379">
        <f t="shared" si="1"/>
        <v>1407.3821841106753</v>
      </c>
      <c r="H26" s="174"/>
      <c r="I26" s="11"/>
    </row>
    <row r="27" spans="1:9" ht="15" customHeight="1" x14ac:dyDescent="0.2">
      <c r="A27" s="10" t="s">
        <v>31</v>
      </c>
      <c r="B27" s="3" t="s">
        <v>132</v>
      </c>
      <c r="C27" s="414">
        <v>3378403.36</v>
      </c>
      <c r="D27" s="120">
        <f>'Revenue Offset'!G27</f>
        <v>0.36861818717307604</v>
      </c>
      <c r="E27" s="121">
        <f t="shared" si="2"/>
        <v>2133062.4378973711</v>
      </c>
      <c r="F27" s="17">
        <f>Summary!D25</f>
        <v>1426</v>
      </c>
      <c r="G27" s="379">
        <f t="shared" si="1"/>
        <v>1495.8362117092365</v>
      </c>
      <c r="H27" s="174"/>
      <c r="I27" s="11"/>
    </row>
    <row r="28" spans="1:9" ht="15" customHeight="1" x14ac:dyDescent="0.2">
      <c r="A28" s="10" t="s">
        <v>33</v>
      </c>
      <c r="B28" s="3" t="s">
        <v>128</v>
      </c>
      <c r="C28" s="414">
        <v>1061745.1000000001</v>
      </c>
      <c r="D28" s="120">
        <f>'Revenue Offset'!G28</f>
        <v>0.33523632816732252</v>
      </c>
      <c r="E28" s="121">
        <f t="shared" si="2"/>
        <v>705809.57122635341</v>
      </c>
      <c r="F28" s="17">
        <f>Summary!D26</f>
        <v>832</v>
      </c>
      <c r="G28" s="379">
        <f t="shared" si="1"/>
        <v>848.32881157013628</v>
      </c>
      <c r="H28" s="174"/>
      <c r="I28" s="11"/>
    </row>
    <row r="29" spans="1:9" ht="15" customHeight="1" x14ac:dyDescent="0.2">
      <c r="A29" s="10" t="s">
        <v>35</v>
      </c>
      <c r="B29" s="3" t="s">
        <v>36</v>
      </c>
      <c r="C29" s="414">
        <v>3050045.08</v>
      </c>
      <c r="D29" s="120">
        <f>'Revenue Offset'!G29</f>
        <v>0.4213427221697979</v>
      </c>
      <c r="E29" s="121">
        <f>C29*(1-D29)</f>
        <v>1764930.7832522013</v>
      </c>
      <c r="F29" s="17">
        <f>Summary!D27</f>
        <v>2081</v>
      </c>
      <c r="G29" s="379">
        <f t="shared" si="1"/>
        <v>848.11666662767959</v>
      </c>
      <c r="H29" s="174"/>
      <c r="I29" s="11"/>
    </row>
    <row r="30" spans="1:9" ht="15" customHeight="1" x14ac:dyDescent="0.2">
      <c r="A30" s="10" t="s">
        <v>37</v>
      </c>
      <c r="B30" s="3" t="s">
        <v>129</v>
      </c>
      <c r="C30" s="414">
        <v>3347845.11</v>
      </c>
      <c r="D30" s="120">
        <f>'Revenue Offset'!G30</f>
        <v>0.43769735215033734</v>
      </c>
      <c r="E30" s="121">
        <f>C30*(1-D30)</f>
        <v>1882502.169943545</v>
      </c>
      <c r="F30" s="17">
        <f>Summary!D28</f>
        <v>2082</v>
      </c>
      <c r="G30" s="379">
        <f t="shared" si="1"/>
        <v>904.17971659152022</v>
      </c>
      <c r="H30" s="174"/>
      <c r="I30" s="11"/>
    </row>
    <row r="31" spans="1:9" ht="15" customHeight="1" x14ac:dyDescent="0.2">
      <c r="A31" s="10" t="s">
        <v>39</v>
      </c>
      <c r="B31" s="3" t="s">
        <v>133</v>
      </c>
      <c r="C31" s="414">
        <v>6588239.0700000003</v>
      </c>
      <c r="D31" s="120">
        <f>'Revenue Offset'!G31</f>
        <v>0.47111906577098772</v>
      </c>
      <c r="E31" s="121">
        <f t="shared" si="2"/>
        <v>3484394.0342656793</v>
      </c>
      <c r="F31" s="17">
        <f>Summary!D29</f>
        <v>3120</v>
      </c>
      <c r="G31" s="379">
        <f t="shared" si="1"/>
        <v>1116.7929597005382</v>
      </c>
      <c r="H31" s="174"/>
      <c r="I31" s="11"/>
    </row>
    <row r="32" spans="1:9" ht="15" customHeight="1" x14ac:dyDescent="0.2">
      <c r="A32" s="10" t="s">
        <v>46</v>
      </c>
      <c r="B32" s="3" t="s">
        <v>69</v>
      </c>
      <c r="C32" s="414">
        <v>6502781.4100000001</v>
      </c>
      <c r="D32" s="120">
        <f>'Revenue Offset'!G32</f>
        <v>0.42873095002098827</v>
      </c>
      <c r="E32" s="121">
        <f t="shared" si="2"/>
        <v>3714837.7583118784</v>
      </c>
      <c r="F32" s="17">
        <f>Summary!D30</f>
        <v>3398</v>
      </c>
      <c r="G32" s="379">
        <f t="shared" si="1"/>
        <v>1093.2424244590577</v>
      </c>
      <c r="H32" s="174"/>
      <c r="I32" s="11"/>
    </row>
    <row r="33" spans="1:9" ht="15" customHeight="1" x14ac:dyDescent="0.2">
      <c r="A33" s="10" t="s">
        <v>41</v>
      </c>
      <c r="B33" s="3" t="s">
        <v>115</v>
      </c>
      <c r="C33" s="414">
        <v>3302169.56</v>
      </c>
      <c r="D33" s="120">
        <f>'Revenue Offset'!G33</f>
        <v>0.39561511236123237</v>
      </c>
      <c r="E33" s="121">
        <f>C33*(1-D33)</f>
        <v>1995781.3784847588</v>
      </c>
      <c r="F33" s="17">
        <f>Summary!D31</f>
        <v>1860</v>
      </c>
      <c r="G33" s="379">
        <f>E33/F33</f>
        <v>1073.000741120838</v>
      </c>
      <c r="H33" s="174"/>
      <c r="I33" s="11"/>
    </row>
    <row r="34" spans="1:9" ht="15" customHeight="1" x14ac:dyDescent="0.2">
      <c r="A34" s="10" t="s">
        <v>42</v>
      </c>
      <c r="B34" s="3" t="s">
        <v>68</v>
      </c>
      <c r="C34" s="414">
        <v>6278664.2599999998</v>
      </c>
      <c r="D34" s="120">
        <f>'Revenue Offset'!G34</f>
        <v>0.49611823141236078</v>
      </c>
      <c r="E34" s="121">
        <f t="shared" si="2"/>
        <v>3163704.451696801</v>
      </c>
      <c r="F34" s="17">
        <f>Summary!D32</f>
        <v>3414</v>
      </c>
      <c r="G34" s="379">
        <f t="shared" si="1"/>
        <v>926.68554531247833</v>
      </c>
      <c r="H34" s="174"/>
      <c r="I34" s="11"/>
    </row>
    <row r="35" spans="1:9" ht="15" customHeight="1" x14ac:dyDescent="0.2">
      <c r="A35" s="10" t="s">
        <v>43</v>
      </c>
      <c r="B35" s="3" t="s">
        <v>44</v>
      </c>
      <c r="C35" s="414">
        <v>20953662.27</v>
      </c>
      <c r="D35" s="120">
        <f>'Revenue Offset'!G35</f>
        <v>0.51181667722381252</v>
      </c>
      <c r="E35" s="121">
        <f t="shared" si="2"/>
        <v>10229228.471298631</v>
      </c>
      <c r="F35" s="17">
        <f>Summary!D33</f>
        <v>7214</v>
      </c>
      <c r="G35" s="379">
        <f t="shared" si="1"/>
        <v>1417.969014596428</v>
      </c>
      <c r="H35" s="174"/>
      <c r="I35" s="11"/>
    </row>
    <row r="36" spans="1:9" ht="15" customHeight="1" x14ac:dyDescent="0.2">
      <c r="A36" s="10" t="s">
        <v>45</v>
      </c>
      <c r="B36" s="3" t="s">
        <v>134</v>
      </c>
      <c r="C36" s="414">
        <v>3776153.14</v>
      </c>
      <c r="D36" s="120">
        <f>'Revenue Offset'!G36</f>
        <v>0.4587412308621322</v>
      </c>
      <c r="E36" s="121">
        <f t="shared" si="2"/>
        <v>2043876.0006324949</v>
      </c>
      <c r="F36" s="17">
        <f>Summary!D34</f>
        <v>2574</v>
      </c>
      <c r="G36" s="379">
        <f t="shared" si="1"/>
        <v>794.04662029234453</v>
      </c>
      <c r="H36" s="174"/>
      <c r="I36" s="11"/>
    </row>
    <row r="37" spans="1:9" ht="15" customHeight="1" x14ac:dyDescent="0.2">
      <c r="A37" s="10" t="s">
        <v>47</v>
      </c>
      <c r="B37" s="3" t="s">
        <v>48</v>
      </c>
      <c r="C37" s="414">
        <v>14523896.93</v>
      </c>
      <c r="D37" s="120">
        <f>'Revenue Offset'!G37</f>
        <v>0.53480357403864109</v>
      </c>
      <c r="E37" s="121">
        <f t="shared" si="2"/>
        <v>6756464.9428671524</v>
      </c>
      <c r="F37" s="17">
        <f>Summary!D35</f>
        <v>5596</v>
      </c>
      <c r="G37" s="379">
        <f t="shared" si="1"/>
        <v>1207.3740069455241</v>
      </c>
      <c r="H37" s="174"/>
      <c r="I37" s="11"/>
    </row>
    <row r="38" spans="1:9" ht="15" customHeight="1" x14ac:dyDescent="0.2">
      <c r="G38" s="174"/>
      <c r="H38" s="125"/>
    </row>
    <row r="39" spans="1:9" ht="15" customHeight="1" x14ac:dyDescent="0.2">
      <c r="B39" t="s">
        <v>49</v>
      </c>
      <c r="C39" s="16">
        <f>SUM(C8:C38)</f>
        <v>240282803.66000003</v>
      </c>
      <c r="D39" s="122">
        <f>'Revenue Offset'!G39</f>
        <v>0.48566632051512093</v>
      </c>
      <c r="E39" s="16">
        <f>SUM(E8:E38)</f>
        <v>120315588.82682231</v>
      </c>
      <c r="F39" s="16">
        <f>SUM(F8:F38)</f>
        <v>108087</v>
      </c>
      <c r="G39" s="174">
        <f>+E39/F39</f>
        <v>1113.136536556869</v>
      </c>
      <c r="H39" s="125"/>
    </row>
    <row r="40" spans="1:9" ht="12" customHeight="1" x14ac:dyDescent="0.2">
      <c r="C40" s="123"/>
    </row>
    <row r="41" spans="1:9" ht="15" customHeight="1" x14ac:dyDescent="0.2">
      <c r="A41" s="15" t="s">
        <v>301</v>
      </c>
      <c r="E41" s="124"/>
    </row>
    <row r="42" spans="1:9" ht="15" customHeight="1" x14ac:dyDescent="0.2">
      <c r="A42" s="15" t="str">
        <f>'FY2015 Detail'!B40</f>
        <v>s:\finance\bargain\FY26 allocation\Summary of FY2026 Institutional Allocation Draft</v>
      </c>
    </row>
    <row r="43" spans="1:9" ht="15" customHeight="1" x14ac:dyDescent="0.2">
      <c r="A43" s="15"/>
    </row>
    <row r="44" spans="1:9" ht="15" customHeight="1" x14ac:dyDescent="0.2">
      <c r="C44" s="11"/>
      <c r="D44" s="6"/>
      <c r="E44" s="11"/>
      <c r="F44" s="11"/>
    </row>
  </sheetData>
  <phoneticPr fontId="11" type="noConversion"/>
  <pageMargins left="0.75" right="0.4" top="0.64" bottom="0.28000000000000003" header="0.5" footer="0.24"/>
  <pageSetup scale="8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S47"/>
  <sheetViews>
    <sheetView zoomScale="80" zoomScaleNormal="80" workbookViewId="0">
      <selection activeCell="G47" sqref="G47"/>
    </sheetView>
  </sheetViews>
  <sheetFormatPr defaultColWidth="9.140625" defaultRowHeight="12.75" x14ac:dyDescent="0.2"/>
  <cols>
    <col min="1" max="1" width="7.7109375" customWidth="1"/>
    <col min="2" max="2" width="30.7109375" customWidth="1"/>
    <col min="3" max="3" width="8.5703125" style="11" customWidth="1"/>
    <col min="4" max="4" width="12.7109375" style="11" customWidth="1"/>
    <col min="5" max="5" width="9.28515625" style="11" customWidth="1"/>
    <col min="6" max="6" width="12.7109375" style="11" bestFit="1" customWidth="1"/>
    <col min="7" max="7" width="11.42578125" style="11" customWidth="1"/>
    <col min="8" max="9" width="12" style="11" customWidth="1"/>
    <col min="10" max="10" width="16.140625" style="11" customWidth="1"/>
    <col min="11" max="11" width="12.28515625" style="11" customWidth="1"/>
    <col min="12" max="12" width="10.5703125" style="4" customWidth="1"/>
    <col min="13" max="13" width="14" style="125" customWidth="1"/>
    <col min="14" max="14" width="7.7109375" customWidth="1"/>
    <col min="15" max="15" width="30.7109375" customWidth="1"/>
    <col min="16" max="16" width="12.28515625" style="16" customWidth="1"/>
    <col min="17" max="18" width="16.42578125" style="4" customWidth="1"/>
    <col min="19" max="19" width="16.28515625" bestFit="1" customWidth="1"/>
    <col min="20" max="20" width="3.42578125" customWidth="1"/>
  </cols>
  <sheetData>
    <row r="1" spans="1:19" ht="15.75" x14ac:dyDescent="0.25">
      <c r="A1" s="33" t="s">
        <v>71</v>
      </c>
      <c r="H1" s="5"/>
      <c r="M1" s="4"/>
      <c r="N1" s="33" t="s">
        <v>71</v>
      </c>
      <c r="S1" s="4" t="s">
        <v>266</v>
      </c>
    </row>
    <row r="2" spans="1:19" x14ac:dyDescent="0.2">
      <c r="A2" s="4" t="s">
        <v>124</v>
      </c>
      <c r="H2" s="5"/>
      <c r="N2" s="4" t="s">
        <v>124</v>
      </c>
      <c r="R2" s="132"/>
    </row>
    <row r="3" spans="1:19" x14ac:dyDescent="0.2">
      <c r="A3" s="4" t="s">
        <v>297</v>
      </c>
      <c r="G3" s="174"/>
      <c r="K3" s="4" t="s">
        <v>266</v>
      </c>
      <c r="N3" s="4" t="s">
        <v>297</v>
      </c>
    </row>
    <row r="4" spans="1:19" s="126" customFormat="1" ht="13.5" x14ac:dyDescent="0.25">
      <c r="A4" s="212" t="s">
        <v>158</v>
      </c>
      <c r="N4" s="212" t="s">
        <v>159</v>
      </c>
    </row>
    <row r="5" spans="1:19" s="213" customFormat="1" ht="12.75" customHeight="1" x14ac:dyDescent="0.2">
      <c r="C5" s="5"/>
      <c r="D5" s="5"/>
      <c r="E5" s="5"/>
      <c r="F5" s="29" t="s">
        <v>96</v>
      </c>
      <c r="G5" s="5"/>
      <c r="H5" s="5"/>
      <c r="I5" s="5"/>
      <c r="J5" s="29" t="s">
        <v>160</v>
      </c>
      <c r="K5" s="29" t="s">
        <v>161</v>
      </c>
      <c r="L5" s="19"/>
      <c r="M5" s="111" t="s">
        <v>162</v>
      </c>
      <c r="P5" s="111" t="s">
        <v>97</v>
      </c>
      <c r="Q5" s="19" t="s">
        <v>163</v>
      </c>
      <c r="R5" s="19"/>
    </row>
    <row r="6" spans="1:19" s="19" customFormat="1" x14ac:dyDescent="0.2">
      <c r="C6" s="29" t="s">
        <v>78</v>
      </c>
      <c r="D6" s="29" t="s">
        <v>73</v>
      </c>
      <c r="E6" s="29" t="s">
        <v>74</v>
      </c>
      <c r="F6" s="29" t="s">
        <v>75</v>
      </c>
      <c r="G6" s="29" t="s">
        <v>76</v>
      </c>
      <c r="H6" s="29" t="s">
        <v>77</v>
      </c>
      <c r="I6" s="29" t="s">
        <v>80</v>
      </c>
      <c r="J6" s="29" t="s">
        <v>81</v>
      </c>
      <c r="K6" s="19" t="s">
        <v>110</v>
      </c>
      <c r="L6" s="19" t="s">
        <v>121</v>
      </c>
      <c r="M6" s="19" t="s">
        <v>98</v>
      </c>
      <c r="P6" s="19" t="s">
        <v>164</v>
      </c>
      <c r="Q6" s="19" t="s">
        <v>165</v>
      </c>
      <c r="R6" s="19" t="s">
        <v>166</v>
      </c>
    </row>
    <row r="7" spans="1:19" s="127" customFormat="1" ht="76.5" x14ac:dyDescent="0.2">
      <c r="A7" s="214" t="s">
        <v>0</v>
      </c>
      <c r="B7" s="215" t="s">
        <v>1</v>
      </c>
      <c r="C7" s="216" t="s">
        <v>302</v>
      </c>
      <c r="D7" s="217" t="s">
        <v>167</v>
      </c>
      <c r="E7" s="217" t="s">
        <v>99</v>
      </c>
      <c r="F7" s="217" t="s">
        <v>100</v>
      </c>
      <c r="G7" s="353" t="s">
        <v>296</v>
      </c>
      <c r="H7" s="218" t="s">
        <v>168</v>
      </c>
      <c r="I7" s="218" t="s">
        <v>169</v>
      </c>
      <c r="J7" s="218" t="s">
        <v>170</v>
      </c>
      <c r="K7" s="195" t="s">
        <v>171</v>
      </c>
      <c r="L7" s="219" t="s">
        <v>117</v>
      </c>
      <c r="M7" s="195" t="s">
        <v>101</v>
      </c>
      <c r="N7" s="214" t="s">
        <v>0</v>
      </c>
      <c r="O7" s="215" t="s">
        <v>1</v>
      </c>
      <c r="P7" s="220" t="s">
        <v>102</v>
      </c>
      <c r="Q7" s="195" t="s">
        <v>318</v>
      </c>
      <c r="R7" s="195" t="s">
        <v>291</v>
      </c>
      <c r="S7" s="214" t="s">
        <v>172</v>
      </c>
    </row>
    <row r="8" spans="1:19" s="127" customFormat="1" x14ac:dyDescent="0.2">
      <c r="A8"/>
      <c r="B8" s="221"/>
      <c r="C8" s="222"/>
      <c r="D8" s="223"/>
      <c r="E8" s="223"/>
      <c r="F8" s="223"/>
      <c r="G8" s="354"/>
      <c r="H8" s="224"/>
      <c r="I8" s="224"/>
      <c r="J8" s="224"/>
      <c r="K8" s="225"/>
      <c r="L8" s="128"/>
      <c r="M8" s="225"/>
      <c r="N8"/>
      <c r="O8" s="221"/>
      <c r="P8" s="226"/>
      <c r="Q8" s="225"/>
      <c r="R8" s="128"/>
    </row>
    <row r="9" spans="1:19" x14ac:dyDescent="0.2">
      <c r="A9" s="227" t="s">
        <v>2</v>
      </c>
      <c r="B9" s="199" t="s">
        <v>126</v>
      </c>
      <c r="C9" s="228">
        <f>Summary!D6</f>
        <v>1927</v>
      </c>
      <c r="D9" s="229">
        <v>2316448</v>
      </c>
      <c r="E9" s="229">
        <v>2447</v>
      </c>
      <c r="F9" s="229">
        <f>+C9*E9</f>
        <v>4715369</v>
      </c>
      <c r="G9" s="355">
        <f>'Weighted differ concurrent'!L6</f>
        <v>4250.6499999999996</v>
      </c>
      <c r="H9" s="230">
        <v>1935254</v>
      </c>
      <c r="I9" s="230">
        <v>671</v>
      </c>
      <c r="J9" s="230">
        <f t="shared" ref="J9:J38" si="0">+G9*I9</f>
        <v>2852186.15</v>
      </c>
      <c r="K9" s="231">
        <f t="shared" ref="K9:K38" si="1">+H9+J9+D9+F9</f>
        <v>11819257.15</v>
      </c>
      <c r="L9" s="232">
        <f>'Revenue Offset'!G8</f>
        <v>0.44033077247037733</v>
      </c>
      <c r="M9" s="233">
        <f t="shared" ref="M9:M38" si="2">K9*(1-L9)</f>
        <v>6614874.5191144701</v>
      </c>
      <c r="N9" s="227" t="s">
        <v>2</v>
      </c>
      <c r="O9" s="199" t="s">
        <v>126</v>
      </c>
      <c r="P9" s="234"/>
      <c r="Q9" s="233">
        <f t="shared" ref="Q9:Q15" si="3">+M9+P9</f>
        <v>6614874.5191144701</v>
      </c>
      <c r="R9" s="233">
        <v>5984607.6399637638</v>
      </c>
      <c r="S9" s="235">
        <f t="shared" ref="S9:S38" si="4">AVERAGE(Q9:R9)</f>
        <v>6299741.0795391165</v>
      </c>
    </row>
    <row r="10" spans="1:19" x14ac:dyDescent="0.2">
      <c r="A10" s="227" t="s">
        <v>4</v>
      </c>
      <c r="B10" s="199" t="s">
        <v>122</v>
      </c>
      <c r="C10" s="228">
        <f>Summary!D7</f>
        <v>5994</v>
      </c>
      <c r="D10" s="229">
        <v>2316448</v>
      </c>
      <c r="E10" s="229">
        <v>2447</v>
      </c>
      <c r="F10" s="229">
        <f>+C10*E10</f>
        <v>14667318</v>
      </c>
      <c r="G10" s="355">
        <f>'Weighted differ concurrent'!L7+'Weighted differ concurrent'!L8</f>
        <v>13443.75</v>
      </c>
      <c r="H10" s="230">
        <v>1935254</v>
      </c>
      <c r="I10" s="230">
        <v>671</v>
      </c>
      <c r="J10" s="230">
        <f t="shared" si="0"/>
        <v>9020756.25</v>
      </c>
      <c r="K10" s="231">
        <f>+H10+J10+D10+F10</f>
        <v>27939776.25</v>
      </c>
      <c r="L10" s="232">
        <f>'Revenue Offset'!G9</f>
        <v>0.46741428016337599</v>
      </c>
      <c r="M10" s="233">
        <f>K10*(1-L10)</f>
        <v>14880325.846180459</v>
      </c>
      <c r="N10" s="227" t="s">
        <v>4</v>
      </c>
      <c r="O10" s="199" t="s">
        <v>122</v>
      </c>
      <c r="P10" s="234">
        <f>200000*2</f>
        <v>400000</v>
      </c>
      <c r="Q10" s="233">
        <f t="shared" si="3"/>
        <v>15280325.846180459</v>
      </c>
      <c r="R10" s="233">
        <v>14272157.905526247</v>
      </c>
      <c r="S10" s="235">
        <f t="shared" si="4"/>
        <v>14776241.875853352</v>
      </c>
    </row>
    <row r="11" spans="1:19" ht="15" customHeight="1" x14ac:dyDescent="0.2">
      <c r="A11" s="227" t="s">
        <v>5</v>
      </c>
      <c r="B11" s="199" t="s">
        <v>112</v>
      </c>
      <c r="C11" s="228">
        <f>Summary!D8</f>
        <v>3764</v>
      </c>
      <c r="D11" s="229">
        <v>7396003</v>
      </c>
      <c r="E11" s="229">
        <v>2233</v>
      </c>
      <c r="F11" s="229">
        <f t="shared" ref="F11:F38" si="5">+C11*E11</f>
        <v>8405012</v>
      </c>
      <c r="G11" s="355">
        <f>'Weighted differ concurrent'!L29+'Weighted differ concurrent'!L40</f>
        <v>6737</v>
      </c>
      <c r="H11" s="230">
        <v>2445900</v>
      </c>
      <c r="I11" s="230">
        <v>1585</v>
      </c>
      <c r="J11" s="230">
        <f t="shared" si="0"/>
        <v>10678145</v>
      </c>
      <c r="K11" s="231">
        <f t="shared" si="1"/>
        <v>28925060</v>
      </c>
      <c r="L11" s="232">
        <f>'Revenue Offset'!G10</f>
        <v>0.51460019407463908</v>
      </c>
      <c r="M11" s="233">
        <f t="shared" si="2"/>
        <v>14040218.510379421</v>
      </c>
      <c r="N11" s="227" t="s">
        <v>5</v>
      </c>
      <c r="O11" s="199" t="s">
        <v>112</v>
      </c>
      <c r="P11" s="234">
        <v>200000</v>
      </c>
      <c r="Q11" s="233">
        <f t="shared" si="3"/>
        <v>14240218.510379421</v>
      </c>
      <c r="R11" s="233">
        <v>12202038.391528592</v>
      </c>
      <c r="S11" s="235">
        <f t="shared" si="4"/>
        <v>13221128.450954005</v>
      </c>
    </row>
    <row r="12" spans="1:19" x14ac:dyDescent="0.2">
      <c r="A12" s="227" t="s">
        <v>6</v>
      </c>
      <c r="B12" s="199" t="s">
        <v>7</v>
      </c>
      <c r="C12" s="228">
        <f>Summary!D9</f>
        <v>2537</v>
      </c>
      <c r="D12" s="229">
        <v>2316448</v>
      </c>
      <c r="E12" s="229">
        <v>2447</v>
      </c>
      <c r="F12" s="229">
        <f t="shared" si="5"/>
        <v>6208039</v>
      </c>
      <c r="G12" s="355">
        <f>'Weighted differ concurrent'!L9</f>
        <v>5330.45</v>
      </c>
      <c r="H12" s="230">
        <v>1935254</v>
      </c>
      <c r="I12" s="230">
        <v>671</v>
      </c>
      <c r="J12" s="230">
        <f t="shared" si="0"/>
        <v>3576731.9499999997</v>
      </c>
      <c r="K12" s="231">
        <f t="shared" si="1"/>
        <v>14036472.949999999</v>
      </c>
      <c r="L12" s="232">
        <f>'Revenue Offset'!G11</f>
        <v>0.42113103549241043</v>
      </c>
      <c r="M12" s="233">
        <f t="shared" si="2"/>
        <v>8125278.56190529</v>
      </c>
      <c r="N12" s="227" t="s">
        <v>6</v>
      </c>
      <c r="O12" s="199" t="s">
        <v>7</v>
      </c>
      <c r="P12" s="234">
        <f>318*500</f>
        <v>159000</v>
      </c>
      <c r="Q12" s="233">
        <f t="shared" si="3"/>
        <v>8284278.56190529</v>
      </c>
      <c r="R12" s="233">
        <v>7713034.6801611641</v>
      </c>
      <c r="S12" s="235">
        <f t="shared" si="4"/>
        <v>7998656.6210332271</v>
      </c>
    </row>
    <row r="13" spans="1:19" x14ac:dyDescent="0.2">
      <c r="A13" s="227" t="s">
        <v>8</v>
      </c>
      <c r="B13" s="199" t="s">
        <v>9</v>
      </c>
      <c r="C13" s="228">
        <f>Summary!D10</f>
        <v>5545</v>
      </c>
      <c r="D13" s="229">
        <v>2316448</v>
      </c>
      <c r="E13" s="229">
        <v>2447</v>
      </c>
      <c r="F13" s="229">
        <f t="shared" si="5"/>
        <v>13568615</v>
      </c>
      <c r="G13" s="355">
        <f>'Weighted differ concurrent'!L10</f>
        <v>13088.95</v>
      </c>
      <c r="H13" s="230">
        <v>1935254</v>
      </c>
      <c r="I13" s="230">
        <v>671</v>
      </c>
      <c r="J13" s="230">
        <f t="shared" si="0"/>
        <v>8782685.4500000011</v>
      </c>
      <c r="K13" s="231">
        <f t="shared" si="1"/>
        <v>26603002.450000003</v>
      </c>
      <c r="L13" s="232">
        <f>'Revenue Offset'!G12</f>
        <v>0.46286235981594193</v>
      </c>
      <c r="M13" s="233">
        <f t="shared" si="2"/>
        <v>14289473.957803717</v>
      </c>
      <c r="N13" s="227" t="s">
        <v>8</v>
      </c>
      <c r="O13" s="199" t="s">
        <v>9</v>
      </c>
      <c r="P13" s="234"/>
      <c r="Q13" s="233">
        <f t="shared" si="3"/>
        <v>14289473.957803717</v>
      </c>
      <c r="R13" s="233">
        <v>12715430.524835842</v>
      </c>
      <c r="S13" s="235">
        <f t="shared" si="4"/>
        <v>13502452.241319779</v>
      </c>
    </row>
    <row r="14" spans="1:19" x14ac:dyDescent="0.2">
      <c r="A14" s="227" t="s">
        <v>10</v>
      </c>
      <c r="B14" s="3" t="s">
        <v>144</v>
      </c>
      <c r="C14" s="228">
        <f>Summary!D11</f>
        <v>4229</v>
      </c>
      <c r="D14" s="229">
        <v>2316448</v>
      </c>
      <c r="E14" s="229">
        <v>2447</v>
      </c>
      <c r="F14" s="229">
        <f t="shared" si="5"/>
        <v>10348363</v>
      </c>
      <c r="G14" s="355">
        <f>'Weighted differ concurrent'!L11+'Weighted differ concurrent'!L14</f>
        <v>9388.9</v>
      </c>
      <c r="H14" s="230">
        <v>1935254</v>
      </c>
      <c r="I14" s="230">
        <v>671</v>
      </c>
      <c r="J14" s="230">
        <f t="shared" si="0"/>
        <v>6299951.8999999994</v>
      </c>
      <c r="K14" s="231">
        <f>+H14+J14+D14+F14</f>
        <v>20900016.899999999</v>
      </c>
      <c r="L14" s="232">
        <f>'Revenue Offset'!G13</f>
        <v>0.43292684964817507</v>
      </c>
      <c r="M14" s="233">
        <f t="shared" si="2"/>
        <v>11851838.42588938</v>
      </c>
      <c r="N14" s="227" t="s">
        <v>10</v>
      </c>
      <c r="O14" s="3" t="s">
        <v>144</v>
      </c>
      <c r="P14" s="234">
        <v>200000</v>
      </c>
      <c r="Q14" s="233">
        <f t="shared" si="3"/>
        <v>12051838.42588938</v>
      </c>
      <c r="R14" s="233">
        <v>11128234.51804949</v>
      </c>
      <c r="S14" s="235">
        <f t="shared" si="4"/>
        <v>11590036.471969435</v>
      </c>
    </row>
    <row r="15" spans="1:19" x14ac:dyDescent="0.2">
      <c r="A15" s="227" t="s">
        <v>12</v>
      </c>
      <c r="B15" s="199" t="s">
        <v>13</v>
      </c>
      <c r="C15" s="228">
        <f>Summary!D12</f>
        <v>815</v>
      </c>
      <c r="D15" s="229">
        <v>2316448</v>
      </c>
      <c r="E15" s="229">
        <v>2447</v>
      </c>
      <c r="F15" s="229">
        <f t="shared" si="5"/>
        <v>1994305</v>
      </c>
      <c r="G15" s="355">
        <f>'Weighted differ concurrent'!L12</f>
        <v>1892.95</v>
      </c>
      <c r="H15" s="230">
        <v>1935254</v>
      </c>
      <c r="I15" s="230">
        <v>671</v>
      </c>
      <c r="J15" s="230">
        <f t="shared" si="0"/>
        <v>1270169.45</v>
      </c>
      <c r="K15" s="231">
        <f t="shared" si="1"/>
        <v>7516176.4500000002</v>
      </c>
      <c r="L15" s="232">
        <f>'Revenue Offset'!G14</f>
        <v>0.33715193015599199</v>
      </c>
      <c r="M15" s="233">
        <f t="shared" si="2"/>
        <v>4982083.0524894884</v>
      </c>
      <c r="N15" s="227" t="s">
        <v>12</v>
      </c>
      <c r="O15" s="199" t="s">
        <v>13</v>
      </c>
      <c r="P15" s="234"/>
      <c r="Q15" s="233">
        <f t="shared" si="3"/>
        <v>4982083.0524894884</v>
      </c>
      <c r="R15" s="233">
        <v>4707988.0475842385</v>
      </c>
      <c r="S15" s="235">
        <f t="shared" si="4"/>
        <v>4845035.5500368634</v>
      </c>
    </row>
    <row r="16" spans="1:19" x14ac:dyDescent="0.2">
      <c r="A16" s="227" t="s">
        <v>14</v>
      </c>
      <c r="B16" s="199" t="s">
        <v>137</v>
      </c>
      <c r="C16" s="228">
        <f>Summary!D13</f>
        <v>2691</v>
      </c>
      <c r="D16" s="229">
        <v>2316448</v>
      </c>
      <c r="E16" s="229">
        <v>2447</v>
      </c>
      <c r="F16" s="229">
        <f t="shared" si="5"/>
        <v>6584877</v>
      </c>
      <c r="G16" s="355">
        <f>'Weighted differ concurrent'!L13</f>
        <v>6360.3</v>
      </c>
      <c r="H16" s="230">
        <v>1935254</v>
      </c>
      <c r="I16" s="230">
        <v>671</v>
      </c>
      <c r="J16" s="230">
        <f t="shared" si="0"/>
        <v>4267761.3</v>
      </c>
      <c r="K16" s="231">
        <f t="shared" si="1"/>
        <v>15104340.300000001</v>
      </c>
      <c r="L16" s="232">
        <f>'Revenue Offset'!G15</f>
        <v>0.36904541466123802</v>
      </c>
      <c r="M16" s="233">
        <f t="shared" si="2"/>
        <v>9530152.7708020508</v>
      </c>
      <c r="N16" s="227" t="s">
        <v>14</v>
      </c>
      <c r="O16" s="199" t="s">
        <v>137</v>
      </c>
      <c r="P16" s="234">
        <v>200000</v>
      </c>
      <c r="Q16" s="233">
        <f t="shared" ref="Q16:Q38" si="6">+M16+P16</f>
        <v>9730152.7708020508</v>
      </c>
      <c r="R16" s="233">
        <v>9011810.1925780959</v>
      </c>
      <c r="S16" s="235">
        <f t="shared" si="4"/>
        <v>9370981.4816900734</v>
      </c>
    </row>
    <row r="17" spans="1:19" x14ac:dyDescent="0.2">
      <c r="A17" s="227" t="s">
        <v>16</v>
      </c>
      <c r="B17" s="199" t="s">
        <v>17</v>
      </c>
      <c r="C17" s="228">
        <f>Summary!D14</f>
        <v>2445</v>
      </c>
      <c r="D17" s="229">
        <v>2316448</v>
      </c>
      <c r="E17" s="229">
        <v>2447</v>
      </c>
      <c r="F17" s="229">
        <f t="shared" si="5"/>
        <v>5982915</v>
      </c>
      <c r="G17" s="355">
        <f>'Weighted differ concurrent'!L15</f>
        <v>5596.25</v>
      </c>
      <c r="H17" s="230">
        <v>1935254</v>
      </c>
      <c r="I17" s="230">
        <v>671</v>
      </c>
      <c r="J17" s="230">
        <f t="shared" si="0"/>
        <v>3755083.75</v>
      </c>
      <c r="K17" s="231">
        <f t="shared" si="1"/>
        <v>13989700.75</v>
      </c>
      <c r="L17" s="232">
        <f>'Revenue Offset'!G16</f>
        <v>0.39146000294713518</v>
      </c>
      <c r="M17" s="233">
        <f t="shared" si="2"/>
        <v>8513292.4531754609</v>
      </c>
      <c r="N17" s="227" t="s">
        <v>16</v>
      </c>
      <c r="O17" s="199" t="s">
        <v>17</v>
      </c>
      <c r="P17" s="234"/>
      <c r="Q17" s="233">
        <f t="shared" si="6"/>
        <v>8513292.4531754609</v>
      </c>
      <c r="R17" s="233">
        <v>7806267.9543900937</v>
      </c>
      <c r="S17" s="235">
        <f t="shared" si="4"/>
        <v>8159780.2037827773</v>
      </c>
    </row>
    <row r="18" spans="1:19" x14ac:dyDescent="0.2">
      <c r="A18" s="227" t="s">
        <v>18</v>
      </c>
      <c r="B18" s="199" t="s">
        <v>138</v>
      </c>
      <c r="C18" s="228">
        <f>Summary!D15</f>
        <v>4832</v>
      </c>
      <c r="D18" s="229">
        <v>7396003</v>
      </c>
      <c r="E18" s="229">
        <v>2233</v>
      </c>
      <c r="F18" s="229">
        <f t="shared" si="5"/>
        <v>10789856</v>
      </c>
      <c r="G18" s="355">
        <f>'Weighted differ concurrent'!L41</f>
        <v>9251.5499999999993</v>
      </c>
      <c r="H18" s="230">
        <v>2445900</v>
      </c>
      <c r="I18" s="230">
        <v>1585</v>
      </c>
      <c r="J18" s="230">
        <f t="shared" si="0"/>
        <v>14663706.749999998</v>
      </c>
      <c r="K18" s="231">
        <f t="shared" si="1"/>
        <v>35295465.75</v>
      </c>
      <c r="L18" s="232">
        <f>'Revenue Offset'!G17</f>
        <v>0.52255445819623836</v>
      </c>
      <c r="M18" s="233">
        <f t="shared" si="2"/>
        <v>16851662.768224861</v>
      </c>
      <c r="N18" s="227" t="s">
        <v>18</v>
      </c>
      <c r="O18" s="199" t="s">
        <v>138</v>
      </c>
      <c r="P18" s="234"/>
      <c r="Q18" s="233">
        <f t="shared" si="6"/>
        <v>16851662.768224861</v>
      </c>
      <c r="R18" s="233">
        <v>14530290.343833921</v>
      </c>
      <c r="S18" s="235">
        <f t="shared" si="4"/>
        <v>15690976.556029391</v>
      </c>
    </row>
    <row r="19" spans="1:19" x14ac:dyDescent="0.2">
      <c r="A19" s="227" t="s">
        <v>19</v>
      </c>
      <c r="B19" s="199" t="s">
        <v>127</v>
      </c>
      <c r="C19" s="228">
        <f>Summary!D16</f>
        <v>4167</v>
      </c>
      <c r="D19" s="229">
        <v>2316448</v>
      </c>
      <c r="E19" s="229">
        <v>2447</v>
      </c>
      <c r="F19" s="229">
        <f t="shared" si="5"/>
        <v>10196649</v>
      </c>
      <c r="G19" s="355">
        <f>'Weighted differ concurrent'!L16</f>
        <v>10705.15</v>
      </c>
      <c r="H19" s="230">
        <v>1935254</v>
      </c>
      <c r="I19" s="230">
        <v>671</v>
      </c>
      <c r="J19" s="230">
        <f t="shared" si="0"/>
        <v>7183155.6499999994</v>
      </c>
      <c r="K19" s="231">
        <f t="shared" si="1"/>
        <v>21631506.649999999</v>
      </c>
      <c r="L19" s="232">
        <f>'Revenue Offset'!G18</f>
        <v>0.44299468497228722</v>
      </c>
      <c r="M19" s="233">
        <f t="shared" si="2"/>
        <v>12048864.176107313</v>
      </c>
      <c r="N19" s="227" t="s">
        <v>19</v>
      </c>
      <c r="O19" s="199" t="s">
        <v>127</v>
      </c>
      <c r="P19" s="234"/>
      <c r="Q19" s="233">
        <f t="shared" si="6"/>
        <v>12048864.176107313</v>
      </c>
      <c r="R19" s="233">
        <v>10708348.396930609</v>
      </c>
      <c r="S19" s="235">
        <f t="shared" si="4"/>
        <v>11378606.286518961</v>
      </c>
    </row>
    <row r="20" spans="1:19" ht="14.25" customHeight="1" x14ac:dyDescent="0.2">
      <c r="A20" s="205" t="s">
        <v>116</v>
      </c>
      <c r="B20" s="199" t="s">
        <v>285</v>
      </c>
      <c r="C20" s="228">
        <f>Summary!D17</f>
        <v>2459</v>
      </c>
      <c r="D20" s="229">
        <v>2316448</v>
      </c>
      <c r="E20" s="229">
        <v>2447</v>
      </c>
      <c r="F20" s="229">
        <f>+C20*E20</f>
        <v>6017173</v>
      </c>
      <c r="G20" s="355">
        <f>'Weighted differ concurrent'!L17</f>
        <v>3755.05</v>
      </c>
      <c r="H20" s="230">
        <v>1935254</v>
      </c>
      <c r="I20" s="230">
        <v>671</v>
      </c>
      <c r="J20" s="230">
        <f>+G20*I20</f>
        <v>2519638.5500000003</v>
      </c>
      <c r="K20" s="231">
        <f>+H20+J20+D20+F20</f>
        <v>12788513.550000001</v>
      </c>
      <c r="L20" s="232">
        <f>'Revenue Offset'!G19</f>
        <v>0.37885410660078628</v>
      </c>
      <c r="M20" s="233">
        <f>K20*(1-L20)</f>
        <v>7943532.6742627015</v>
      </c>
      <c r="N20" s="205" t="s">
        <v>116</v>
      </c>
      <c r="O20" s="199" t="s">
        <v>63</v>
      </c>
      <c r="P20" s="16">
        <f>(200000*3)+(205*500)+(153*500)</f>
        <v>779000</v>
      </c>
      <c r="Q20" s="233">
        <f>+M20+P20</f>
        <v>8722532.6742627025</v>
      </c>
      <c r="R20" s="233">
        <v>8176750.0207943646</v>
      </c>
      <c r="S20" s="235">
        <f>AVERAGE(Q20:R20)</f>
        <v>8449641.347528534</v>
      </c>
    </row>
    <row r="21" spans="1:19" x14ac:dyDescent="0.2">
      <c r="A21" s="227" t="s">
        <v>21</v>
      </c>
      <c r="B21" s="204" t="s">
        <v>174</v>
      </c>
      <c r="C21" s="228">
        <f>Summary!D18</f>
        <v>1221</v>
      </c>
      <c r="D21" s="229">
        <v>2316448</v>
      </c>
      <c r="E21" s="229">
        <v>2447</v>
      </c>
      <c r="F21" s="229">
        <f t="shared" si="5"/>
        <v>2987787</v>
      </c>
      <c r="G21" s="355">
        <f>'Weighted differ concurrent'!L23</f>
        <v>2685.05</v>
      </c>
      <c r="H21" s="230">
        <v>1935254</v>
      </c>
      <c r="I21" s="230">
        <v>671</v>
      </c>
      <c r="J21" s="230">
        <f t="shared" si="0"/>
        <v>1801668.55</v>
      </c>
      <c r="K21" s="231">
        <f t="shared" si="1"/>
        <v>9041157.5500000007</v>
      </c>
      <c r="L21" s="232">
        <f>'Revenue Offset'!G20</f>
        <v>0.3926261223615316</v>
      </c>
      <c r="M21" s="233">
        <f t="shared" si="2"/>
        <v>5491362.9194838153</v>
      </c>
      <c r="N21" s="227" t="s">
        <v>21</v>
      </c>
      <c r="O21" s="204" t="s">
        <v>70</v>
      </c>
      <c r="P21" s="234">
        <f>374*500</f>
        <v>187000</v>
      </c>
      <c r="Q21" s="233">
        <f t="shared" si="6"/>
        <v>5678362.9194838153</v>
      </c>
      <c r="R21" s="233">
        <v>5186304.6631591097</v>
      </c>
      <c r="S21" s="235">
        <f t="shared" si="4"/>
        <v>5432333.791321462</v>
      </c>
    </row>
    <row r="22" spans="1:19" x14ac:dyDescent="0.2">
      <c r="A22" s="205" t="s">
        <v>108</v>
      </c>
      <c r="B22" s="199" t="s">
        <v>139</v>
      </c>
      <c r="C22" s="228">
        <f>Summary!D19</f>
        <v>3211</v>
      </c>
      <c r="D22" s="229">
        <v>2316448</v>
      </c>
      <c r="E22" s="229">
        <v>2447</v>
      </c>
      <c r="F22" s="229">
        <f>+C22*E22</f>
        <v>7857317</v>
      </c>
      <c r="G22" s="355">
        <f>'Weighted differ concurrent'!L24</f>
        <v>6627.4</v>
      </c>
      <c r="H22" s="230">
        <v>1935254</v>
      </c>
      <c r="I22" s="230">
        <v>671</v>
      </c>
      <c r="J22" s="230">
        <f t="shared" si="0"/>
        <v>4446985.3999999994</v>
      </c>
      <c r="K22" s="231">
        <f t="shared" si="1"/>
        <v>16556004.399999999</v>
      </c>
      <c r="L22" s="232">
        <f>'Revenue Offset'!G21</f>
        <v>0.402691052440108</v>
      </c>
      <c r="M22" s="233">
        <f t="shared" si="2"/>
        <v>9889049.5639609415</v>
      </c>
      <c r="N22" s="205" t="s">
        <v>108</v>
      </c>
      <c r="O22" s="199" t="s">
        <v>139</v>
      </c>
      <c r="P22" s="234">
        <f>(200000*2)+(259*500)</f>
        <v>529500</v>
      </c>
      <c r="Q22" s="233">
        <f>+M22+P22</f>
        <v>10418549.563960942</v>
      </c>
      <c r="R22" s="233">
        <v>9455002.7073212452</v>
      </c>
      <c r="S22" s="235">
        <f t="shared" si="4"/>
        <v>9936776.1356410943</v>
      </c>
    </row>
    <row r="23" spans="1:19" x14ac:dyDescent="0.2">
      <c r="A23" s="227" t="s">
        <v>26</v>
      </c>
      <c r="B23" s="199" t="s">
        <v>62</v>
      </c>
      <c r="C23" s="228">
        <f>Summary!D20</f>
        <v>4013</v>
      </c>
      <c r="D23" s="229">
        <v>7396003</v>
      </c>
      <c r="E23" s="229">
        <v>2233</v>
      </c>
      <c r="F23" s="229">
        <f>+C23*E23</f>
        <v>8961029</v>
      </c>
      <c r="G23" s="355">
        <f>'Weighted differ concurrent'!L43</f>
        <v>6110.85</v>
      </c>
      <c r="H23" s="230">
        <v>2445900</v>
      </c>
      <c r="I23" s="230">
        <v>1585</v>
      </c>
      <c r="J23" s="230">
        <f t="shared" si="0"/>
        <v>9685697.25</v>
      </c>
      <c r="K23" s="231">
        <f t="shared" si="1"/>
        <v>28488629.25</v>
      </c>
      <c r="L23" s="232">
        <f>'Revenue Offset'!G22</f>
        <v>0.5390574292998197</v>
      </c>
      <c r="M23" s="233">
        <f t="shared" si="2"/>
        <v>13131622.002219349</v>
      </c>
      <c r="N23" s="227" t="s">
        <v>26</v>
      </c>
      <c r="O23" s="199" t="s">
        <v>62</v>
      </c>
      <c r="P23" s="234"/>
      <c r="Q23" s="233">
        <f t="shared" si="6"/>
        <v>13131622.002219349</v>
      </c>
      <c r="R23" s="233">
        <v>11650778.658317389</v>
      </c>
      <c r="S23" s="235">
        <f t="shared" si="4"/>
        <v>12391200.330268368</v>
      </c>
    </row>
    <row r="24" spans="1:19" x14ac:dyDescent="0.2">
      <c r="A24" s="227" t="s">
        <v>22</v>
      </c>
      <c r="B24" s="199" t="s">
        <v>23</v>
      </c>
      <c r="C24" s="228">
        <f>Summary!D21</f>
        <v>13149</v>
      </c>
      <c r="D24" s="229">
        <v>7396003</v>
      </c>
      <c r="E24" s="229">
        <v>2233</v>
      </c>
      <c r="F24" s="229">
        <f>+C24*E24</f>
        <v>29361717</v>
      </c>
      <c r="G24" s="355">
        <f>'Weighted differ concurrent'!L42</f>
        <v>18651.45</v>
      </c>
      <c r="H24" s="230">
        <v>2445900</v>
      </c>
      <c r="I24" s="230">
        <v>1585</v>
      </c>
      <c r="J24" s="230">
        <f t="shared" si="0"/>
        <v>29562548.25</v>
      </c>
      <c r="K24" s="231">
        <f t="shared" si="1"/>
        <v>68766168.25</v>
      </c>
      <c r="L24" s="232">
        <f>'Revenue Offset'!G23</f>
        <v>0.63724695728014435</v>
      </c>
      <c r="M24" s="233">
        <f t="shared" si="2"/>
        <v>24945136.768873032</v>
      </c>
      <c r="N24" s="227" t="s">
        <v>22</v>
      </c>
      <c r="O24" s="199" t="s">
        <v>23</v>
      </c>
      <c r="P24" s="234"/>
      <c r="Q24" s="233">
        <f t="shared" si="6"/>
        <v>24945136.768873032</v>
      </c>
      <c r="R24" s="233">
        <v>21083365.088473424</v>
      </c>
      <c r="S24" s="235">
        <f t="shared" si="4"/>
        <v>23014250.92867323</v>
      </c>
    </row>
    <row r="25" spans="1:19" x14ac:dyDescent="0.2">
      <c r="A25" s="227" t="s">
        <v>24</v>
      </c>
      <c r="B25" s="199" t="s">
        <v>135</v>
      </c>
      <c r="C25" s="228">
        <f>Summary!D22</f>
        <v>1999</v>
      </c>
      <c r="D25" s="229">
        <v>2316448</v>
      </c>
      <c r="E25" s="229">
        <v>2447</v>
      </c>
      <c r="F25" s="229">
        <f t="shared" si="5"/>
        <v>4891553</v>
      </c>
      <c r="G25" s="355">
        <f>'Weighted differ concurrent'!L25</f>
        <v>4869.3500000000004</v>
      </c>
      <c r="H25" s="230">
        <v>1935254</v>
      </c>
      <c r="I25" s="230">
        <v>671</v>
      </c>
      <c r="J25" s="230">
        <f t="shared" si="0"/>
        <v>3267333.85</v>
      </c>
      <c r="K25" s="231">
        <f t="shared" si="1"/>
        <v>12410588.85</v>
      </c>
      <c r="L25" s="232">
        <f>'Revenue Offset'!G24</f>
        <v>0.41106785018464187</v>
      </c>
      <c r="M25" s="233">
        <f t="shared" si="2"/>
        <v>7308994.7719050134</v>
      </c>
      <c r="N25" s="227" t="s">
        <v>24</v>
      </c>
      <c r="O25" s="199" t="s">
        <v>135</v>
      </c>
      <c r="P25" s="234">
        <f>(200000)+((103+87+248)*500)</f>
        <v>419000</v>
      </c>
      <c r="Q25" s="233">
        <f t="shared" si="6"/>
        <v>7727994.7719050134</v>
      </c>
      <c r="R25" s="233">
        <v>7188555.4982266547</v>
      </c>
      <c r="S25" s="235">
        <f t="shared" si="4"/>
        <v>7458275.135065834</v>
      </c>
    </row>
    <row r="26" spans="1:19" x14ac:dyDescent="0.2">
      <c r="A26" s="227" t="s">
        <v>27</v>
      </c>
      <c r="B26" s="199" t="s">
        <v>130</v>
      </c>
      <c r="C26" s="228">
        <f>Summary!D23</f>
        <v>6481</v>
      </c>
      <c r="D26" s="229">
        <v>2316448</v>
      </c>
      <c r="E26" s="229">
        <v>2447</v>
      </c>
      <c r="F26" s="229">
        <f t="shared" si="5"/>
        <v>15859007</v>
      </c>
      <c r="G26" s="355">
        <f>'Weighted differ concurrent'!L26</f>
        <v>15841.25</v>
      </c>
      <c r="H26" s="230">
        <v>1935254</v>
      </c>
      <c r="I26" s="230">
        <v>671</v>
      </c>
      <c r="J26" s="230">
        <f t="shared" si="0"/>
        <v>10629478.75</v>
      </c>
      <c r="K26" s="231">
        <f t="shared" si="1"/>
        <v>30740187.75</v>
      </c>
      <c r="L26" s="232">
        <f>'Revenue Offset'!G25</f>
        <v>0.50654503600839607</v>
      </c>
      <c r="M26" s="233">
        <f t="shared" si="2"/>
        <v>15168898.239271395</v>
      </c>
      <c r="N26" s="227" t="s">
        <v>27</v>
      </c>
      <c r="O26" s="199" t="s">
        <v>130</v>
      </c>
      <c r="P26" s="234"/>
      <c r="Q26" s="233">
        <f t="shared" si="6"/>
        <v>15168898.239271395</v>
      </c>
      <c r="R26" s="233">
        <v>13606864.521655099</v>
      </c>
      <c r="S26" s="235">
        <f t="shared" si="4"/>
        <v>14387881.380463246</v>
      </c>
    </row>
    <row r="27" spans="1:19" ht="14.25" customHeight="1" x14ac:dyDescent="0.2">
      <c r="A27" s="227" t="s">
        <v>29</v>
      </c>
      <c r="B27" s="199" t="s">
        <v>131</v>
      </c>
      <c r="C27" s="228">
        <f>Summary!D24</f>
        <v>3011</v>
      </c>
      <c r="D27" s="229">
        <v>2316448</v>
      </c>
      <c r="E27" s="229">
        <v>2447</v>
      </c>
      <c r="F27" s="229">
        <f t="shared" si="5"/>
        <v>7367917</v>
      </c>
      <c r="G27" s="355">
        <f>'Weighted differ concurrent'!L27</f>
        <v>7842.55</v>
      </c>
      <c r="H27" s="230">
        <v>1935254</v>
      </c>
      <c r="I27" s="230">
        <v>671</v>
      </c>
      <c r="J27" s="230">
        <f t="shared" si="0"/>
        <v>5262351.05</v>
      </c>
      <c r="K27" s="231">
        <f t="shared" si="1"/>
        <v>16881970.050000001</v>
      </c>
      <c r="L27" s="232">
        <f>'Revenue Offset'!G26</f>
        <v>0.42197326097175397</v>
      </c>
      <c r="M27" s="233">
        <f t="shared" si="2"/>
        <v>9758230.0963740163</v>
      </c>
      <c r="N27" s="227" t="s">
        <v>29</v>
      </c>
      <c r="O27" s="199" t="s">
        <v>131</v>
      </c>
      <c r="P27" s="234"/>
      <c r="Q27" s="233">
        <f t="shared" si="6"/>
        <v>9758230.0963740163</v>
      </c>
      <c r="R27" s="233">
        <v>8175406.0624791505</v>
      </c>
      <c r="S27" s="235">
        <f t="shared" si="4"/>
        <v>8966818.0794265829</v>
      </c>
    </row>
    <row r="28" spans="1:19" x14ac:dyDescent="0.2">
      <c r="A28" s="227" t="s">
        <v>31</v>
      </c>
      <c r="B28" s="199" t="s">
        <v>132</v>
      </c>
      <c r="C28" s="228">
        <f>Summary!D25</f>
        <v>1426</v>
      </c>
      <c r="D28" s="229">
        <v>2316448</v>
      </c>
      <c r="E28" s="229">
        <v>2447</v>
      </c>
      <c r="F28" s="229">
        <f t="shared" si="5"/>
        <v>3489422</v>
      </c>
      <c r="G28" s="355">
        <f>'Weighted differ concurrent'!L28</f>
        <v>3378.75</v>
      </c>
      <c r="H28" s="230">
        <v>1935254</v>
      </c>
      <c r="I28" s="230">
        <v>671</v>
      </c>
      <c r="J28" s="230">
        <f t="shared" si="0"/>
        <v>2267141.25</v>
      </c>
      <c r="K28" s="231">
        <f t="shared" si="1"/>
        <v>10008265.25</v>
      </c>
      <c r="L28" s="232">
        <f>'Revenue Offset'!G27</f>
        <v>0.36861818717307604</v>
      </c>
      <c r="M28" s="233">
        <f t="shared" si="2"/>
        <v>6319036.6567977071</v>
      </c>
      <c r="N28" s="227" t="s">
        <v>31</v>
      </c>
      <c r="O28" s="199" t="s">
        <v>132</v>
      </c>
      <c r="P28" s="234">
        <v>200000</v>
      </c>
      <c r="Q28" s="233">
        <f t="shared" si="6"/>
        <v>6519036.6567977071</v>
      </c>
      <c r="R28" s="233">
        <v>6032971.8637651969</v>
      </c>
      <c r="S28" s="235">
        <f t="shared" si="4"/>
        <v>6276004.260281452</v>
      </c>
    </row>
    <row r="29" spans="1:19" x14ac:dyDescent="0.2">
      <c r="A29" s="227" t="s">
        <v>33</v>
      </c>
      <c r="B29" s="199" t="s">
        <v>128</v>
      </c>
      <c r="C29" s="228">
        <f>Summary!D26</f>
        <v>832</v>
      </c>
      <c r="D29" s="229">
        <v>2316448</v>
      </c>
      <c r="E29" s="229">
        <v>2447</v>
      </c>
      <c r="F29" s="229">
        <f t="shared" si="5"/>
        <v>2035904</v>
      </c>
      <c r="G29" s="355">
        <f>'Weighted differ concurrent'!L30</f>
        <v>2404.4499999999998</v>
      </c>
      <c r="H29" s="230">
        <v>1935254</v>
      </c>
      <c r="I29" s="230">
        <v>671</v>
      </c>
      <c r="J29" s="230">
        <f t="shared" si="0"/>
        <v>1613385.95</v>
      </c>
      <c r="K29" s="231">
        <f t="shared" si="1"/>
        <v>7900991.9500000002</v>
      </c>
      <c r="L29" s="232">
        <f>'Revenue Offset'!G28</f>
        <v>0.33523632816732252</v>
      </c>
      <c r="M29" s="233">
        <f t="shared" si="2"/>
        <v>5252292.4198024264</v>
      </c>
      <c r="N29" s="227" t="s">
        <v>33</v>
      </c>
      <c r="O29" s="199" t="s">
        <v>128</v>
      </c>
      <c r="P29" s="234"/>
      <c r="Q29" s="233">
        <f t="shared" si="6"/>
        <v>5252292.4198024264</v>
      </c>
      <c r="R29" s="233">
        <v>4612937.3164127786</v>
      </c>
      <c r="S29" s="235">
        <f t="shared" si="4"/>
        <v>4932614.868107602</v>
      </c>
    </row>
    <row r="30" spans="1:19" x14ac:dyDescent="0.2">
      <c r="A30" s="227" t="s">
        <v>35</v>
      </c>
      <c r="B30" s="199" t="s">
        <v>36</v>
      </c>
      <c r="C30" s="228">
        <f>Summary!D27</f>
        <v>2081</v>
      </c>
      <c r="D30" s="229">
        <v>2316448</v>
      </c>
      <c r="E30" s="229">
        <v>2447</v>
      </c>
      <c r="F30" s="229">
        <f t="shared" si="5"/>
        <v>5092207</v>
      </c>
      <c r="G30" s="355">
        <f>'Weighted differ concurrent'!L31</f>
        <v>3763.2</v>
      </c>
      <c r="H30" s="230">
        <v>1935254</v>
      </c>
      <c r="I30" s="230">
        <v>671</v>
      </c>
      <c r="J30" s="230">
        <f t="shared" si="0"/>
        <v>2525107.1999999997</v>
      </c>
      <c r="K30" s="231">
        <f t="shared" si="1"/>
        <v>11869016.199999999</v>
      </c>
      <c r="L30" s="232">
        <f>'Revenue Offset'!G29</f>
        <v>0.4213427221697979</v>
      </c>
      <c r="M30" s="233">
        <f t="shared" si="2"/>
        <v>6868092.6048145695</v>
      </c>
      <c r="N30" s="227" t="s">
        <v>35</v>
      </c>
      <c r="O30" s="199" t="s">
        <v>36</v>
      </c>
      <c r="P30" s="234">
        <v>200000</v>
      </c>
      <c r="Q30" s="233">
        <f t="shared" si="6"/>
        <v>7068092.6048145695</v>
      </c>
      <c r="R30" s="233">
        <v>6859919.4194137901</v>
      </c>
      <c r="S30" s="235">
        <f t="shared" si="4"/>
        <v>6964006.0121141803</v>
      </c>
    </row>
    <row r="31" spans="1:19" x14ac:dyDescent="0.2">
      <c r="A31" s="227" t="s">
        <v>37</v>
      </c>
      <c r="B31" s="199" t="s">
        <v>129</v>
      </c>
      <c r="C31" s="228">
        <f>Summary!D28</f>
        <v>2082</v>
      </c>
      <c r="D31" s="229">
        <v>2316448</v>
      </c>
      <c r="E31" s="229">
        <v>2447</v>
      </c>
      <c r="F31" s="229">
        <f t="shared" si="5"/>
        <v>5094654</v>
      </c>
      <c r="G31" s="355">
        <f>'Weighted differ concurrent'!L32</f>
        <v>4710.6000000000004</v>
      </c>
      <c r="H31" s="230">
        <v>1935254</v>
      </c>
      <c r="I31" s="230">
        <v>671</v>
      </c>
      <c r="J31" s="230">
        <f t="shared" si="0"/>
        <v>3160812.6</v>
      </c>
      <c r="K31" s="231">
        <f t="shared" si="1"/>
        <v>12507168.6</v>
      </c>
      <c r="L31" s="232">
        <f>'Revenue Offset'!G30</f>
        <v>0.43769735215033734</v>
      </c>
      <c r="M31" s="233">
        <f t="shared" si="2"/>
        <v>7032814.0208821585</v>
      </c>
      <c r="N31" s="227" t="s">
        <v>37</v>
      </c>
      <c r="O31" s="199" t="s">
        <v>129</v>
      </c>
      <c r="P31" s="234">
        <f>200000+(83*500)</f>
        <v>241500</v>
      </c>
      <c r="Q31" s="233">
        <f t="shared" si="6"/>
        <v>7274314.0208821585</v>
      </c>
      <c r="R31" s="233">
        <v>6554797.3290728908</v>
      </c>
      <c r="S31" s="235">
        <f t="shared" si="4"/>
        <v>6914555.6749775242</v>
      </c>
    </row>
    <row r="32" spans="1:19" x14ac:dyDescent="0.2">
      <c r="A32" s="227" t="s">
        <v>39</v>
      </c>
      <c r="B32" s="199" t="s">
        <v>133</v>
      </c>
      <c r="C32" s="228">
        <f>Summary!D29</f>
        <v>3120</v>
      </c>
      <c r="D32" s="229">
        <v>2316448</v>
      </c>
      <c r="E32" s="229">
        <v>2447</v>
      </c>
      <c r="F32" s="229">
        <f t="shared" si="5"/>
        <v>7634640</v>
      </c>
      <c r="G32" s="355">
        <f>'Weighted differ concurrent'!L33</f>
        <v>6688.75</v>
      </c>
      <c r="H32" s="230">
        <v>1935254</v>
      </c>
      <c r="I32" s="230">
        <v>671</v>
      </c>
      <c r="J32" s="230">
        <f t="shared" si="0"/>
        <v>4488151.25</v>
      </c>
      <c r="K32" s="231">
        <f t="shared" si="1"/>
        <v>16374493.25</v>
      </c>
      <c r="L32" s="232">
        <f>'Revenue Offset'!G31</f>
        <v>0.47111906577098772</v>
      </c>
      <c r="M32" s="233">
        <f t="shared" si="2"/>
        <v>8660157.2875866555</v>
      </c>
      <c r="N32" s="227" t="s">
        <v>39</v>
      </c>
      <c r="O32" s="199" t="s">
        <v>133</v>
      </c>
      <c r="P32" s="234"/>
      <c r="Q32" s="233">
        <f t="shared" si="6"/>
        <v>8660157.2875866555</v>
      </c>
      <c r="R32" s="233">
        <v>7732766.7161048977</v>
      </c>
      <c r="S32" s="235">
        <f t="shared" si="4"/>
        <v>8196462.001845777</v>
      </c>
    </row>
    <row r="33" spans="1:19" x14ac:dyDescent="0.2">
      <c r="A33" s="227" t="s">
        <v>46</v>
      </c>
      <c r="B33" s="199" t="s">
        <v>69</v>
      </c>
      <c r="C33" s="228">
        <f>Summary!D30</f>
        <v>3398</v>
      </c>
      <c r="D33" s="229">
        <v>2316448</v>
      </c>
      <c r="E33" s="229">
        <v>2447</v>
      </c>
      <c r="F33" s="229">
        <f t="shared" si="5"/>
        <v>8314906</v>
      </c>
      <c r="G33" s="355">
        <f>'Weighted differ concurrent'!L35</f>
        <v>8396.65</v>
      </c>
      <c r="H33" s="230">
        <v>1935254</v>
      </c>
      <c r="I33" s="230">
        <v>671</v>
      </c>
      <c r="J33" s="230">
        <f t="shared" si="0"/>
        <v>5634152.1499999994</v>
      </c>
      <c r="K33" s="231">
        <f t="shared" si="1"/>
        <v>18200760.149999999</v>
      </c>
      <c r="L33" s="232">
        <f>'Revenue Offset'!G32</f>
        <v>0.42873095002098827</v>
      </c>
      <c r="M33" s="233">
        <f t="shared" si="2"/>
        <v>10397530.959786354</v>
      </c>
      <c r="N33" s="227" t="s">
        <v>46</v>
      </c>
      <c r="O33" s="199" t="s">
        <v>69</v>
      </c>
      <c r="P33" s="234"/>
      <c r="Q33" s="233">
        <f t="shared" si="6"/>
        <v>10397530.959786354</v>
      </c>
      <c r="R33" s="233">
        <v>9587797.9737573788</v>
      </c>
      <c r="S33" s="235">
        <f t="shared" si="4"/>
        <v>9992664.4667718671</v>
      </c>
    </row>
    <row r="34" spans="1:19" x14ac:dyDescent="0.2">
      <c r="A34" s="227" t="s">
        <v>41</v>
      </c>
      <c r="B34" s="199" t="s">
        <v>115</v>
      </c>
      <c r="C34" s="228">
        <f>Summary!D31</f>
        <v>1860</v>
      </c>
      <c r="D34" s="229">
        <v>2316448</v>
      </c>
      <c r="E34" s="229">
        <v>2447</v>
      </c>
      <c r="F34" s="229">
        <f t="shared" si="5"/>
        <v>4551420</v>
      </c>
      <c r="G34" s="355">
        <f>'Weighted differ concurrent'!L36</f>
        <v>4731.75</v>
      </c>
      <c r="H34" s="230">
        <v>1935254</v>
      </c>
      <c r="I34" s="230">
        <v>671</v>
      </c>
      <c r="J34" s="230">
        <f t="shared" si="0"/>
        <v>3175004.25</v>
      </c>
      <c r="K34" s="231">
        <f t="shared" si="1"/>
        <v>11978126.25</v>
      </c>
      <c r="L34" s="232">
        <f>'Revenue Offset'!G33</f>
        <v>0.39561511236123237</v>
      </c>
      <c r="M34" s="233">
        <f t="shared" si="2"/>
        <v>7239398.4877292234</v>
      </c>
      <c r="N34" s="227" t="s">
        <v>41</v>
      </c>
      <c r="O34" s="199" t="s">
        <v>115</v>
      </c>
      <c r="P34" s="234">
        <f>285*500</f>
        <v>142500</v>
      </c>
      <c r="Q34" s="233">
        <f t="shared" si="6"/>
        <v>7381898.4877292234</v>
      </c>
      <c r="R34" s="233">
        <v>6924591.1045614602</v>
      </c>
      <c r="S34" s="235">
        <f t="shared" si="4"/>
        <v>7153244.7961453423</v>
      </c>
    </row>
    <row r="35" spans="1:19" x14ac:dyDescent="0.2">
      <c r="A35" s="227" t="s">
        <v>42</v>
      </c>
      <c r="B35" s="199" t="s">
        <v>68</v>
      </c>
      <c r="C35" s="228">
        <f>Summary!D32</f>
        <v>3414</v>
      </c>
      <c r="D35" s="229">
        <v>7396003</v>
      </c>
      <c r="E35" s="229">
        <v>2233</v>
      </c>
      <c r="F35" s="229">
        <f t="shared" si="5"/>
        <v>7623462</v>
      </c>
      <c r="G35" s="355">
        <f>'Weighted differ concurrent'!L45</f>
        <v>7732.1</v>
      </c>
      <c r="H35" s="230">
        <v>2445900</v>
      </c>
      <c r="I35" s="230">
        <v>1585</v>
      </c>
      <c r="J35" s="230">
        <f t="shared" si="0"/>
        <v>12255378.5</v>
      </c>
      <c r="K35" s="231">
        <f t="shared" si="1"/>
        <v>29720743.5</v>
      </c>
      <c r="L35" s="232">
        <f>'Revenue Offset'!G34</f>
        <v>0.49611823141236078</v>
      </c>
      <c r="M35" s="233">
        <f t="shared" si="2"/>
        <v>14975740.798519583</v>
      </c>
      <c r="N35" s="227" t="s">
        <v>42</v>
      </c>
      <c r="O35" s="199" t="s">
        <v>68</v>
      </c>
      <c r="P35" s="234"/>
      <c r="Q35" s="233">
        <f t="shared" si="6"/>
        <v>14975740.798519583</v>
      </c>
      <c r="R35" s="233">
        <v>13188871.030709075</v>
      </c>
      <c r="S35" s="235">
        <f t="shared" si="4"/>
        <v>14082305.914614329</v>
      </c>
    </row>
    <row r="36" spans="1:19" x14ac:dyDescent="0.2">
      <c r="A36" s="227" t="s">
        <v>43</v>
      </c>
      <c r="B36" s="199" t="s">
        <v>44</v>
      </c>
      <c r="C36" s="228">
        <f>Summary!D33</f>
        <v>7214</v>
      </c>
      <c r="D36" s="229">
        <v>7396003</v>
      </c>
      <c r="E36" s="229">
        <v>2233</v>
      </c>
      <c r="F36" s="229">
        <f>+C36*E36</f>
        <v>16108862</v>
      </c>
      <c r="G36" s="355">
        <f>'Weighted differ concurrent'!L44</f>
        <v>12440.6</v>
      </c>
      <c r="H36" s="230">
        <v>2445900</v>
      </c>
      <c r="I36" s="230">
        <v>1585</v>
      </c>
      <c r="J36" s="230">
        <f t="shared" si="0"/>
        <v>19718351</v>
      </c>
      <c r="K36" s="231">
        <f t="shared" si="1"/>
        <v>45669116</v>
      </c>
      <c r="L36" s="232">
        <f>'Revenue Offset'!G35</f>
        <v>0.51181667722381252</v>
      </c>
      <c r="M36" s="233">
        <f t="shared" si="2"/>
        <v>22294900.797131147</v>
      </c>
      <c r="N36" s="227" t="s">
        <v>43</v>
      </c>
      <c r="O36" s="199" t="s">
        <v>44</v>
      </c>
      <c r="P36" s="234"/>
      <c r="Q36" s="233">
        <f>+M36+P36</f>
        <v>22294900.797131147</v>
      </c>
      <c r="R36" s="233">
        <v>19447956.285899594</v>
      </c>
      <c r="S36" s="235">
        <f t="shared" si="4"/>
        <v>20871428.541515373</v>
      </c>
    </row>
    <row r="37" spans="1:19" x14ac:dyDescent="0.2">
      <c r="A37" s="227" t="s">
        <v>45</v>
      </c>
      <c r="B37" s="199" t="s">
        <v>134</v>
      </c>
      <c r="C37" s="228">
        <f>Summary!D34</f>
        <v>2574</v>
      </c>
      <c r="D37" s="229">
        <v>2316448</v>
      </c>
      <c r="E37" s="229">
        <v>2447</v>
      </c>
      <c r="F37" s="229">
        <f t="shared" si="5"/>
        <v>6298578</v>
      </c>
      <c r="G37" s="355">
        <f>'Weighted differ concurrent'!L34</f>
        <v>5397.9</v>
      </c>
      <c r="H37" s="230">
        <v>1935254</v>
      </c>
      <c r="I37" s="230">
        <v>671</v>
      </c>
      <c r="J37" s="230">
        <f t="shared" si="0"/>
        <v>3621990.9</v>
      </c>
      <c r="K37" s="231">
        <f t="shared" si="1"/>
        <v>14172270.9</v>
      </c>
      <c r="L37" s="232">
        <f>'Revenue Offset'!G36</f>
        <v>0.4587412308621322</v>
      </c>
      <c r="M37" s="233">
        <f t="shared" si="2"/>
        <v>7670865.903222423</v>
      </c>
      <c r="N37" s="227" t="s">
        <v>45</v>
      </c>
      <c r="O37" s="199" t="s">
        <v>134</v>
      </c>
      <c r="P37" s="234"/>
      <c r="Q37" s="233">
        <f t="shared" si="6"/>
        <v>7670865.903222423</v>
      </c>
      <c r="R37" s="233">
        <v>7255366.7682792554</v>
      </c>
      <c r="S37" s="235">
        <f t="shared" si="4"/>
        <v>7463116.3357508387</v>
      </c>
    </row>
    <row r="38" spans="1:19" x14ac:dyDescent="0.2">
      <c r="A38" s="227" t="s">
        <v>47</v>
      </c>
      <c r="B38" s="199" t="s">
        <v>48</v>
      </c>
      <c r="C38" s="228">
        <f>Summary!D35</f>
        <v>5596</v>
      </c>
      <c r="D38" s="229">
        <v>7396003</v>
      </c>
      <c r="E38" s="229">
        <v>2233</v>
      </c>
      <c r="F38" s="229">
        <f t="shared" si="5"/>
        <v>12495868</v>
      </c>
      <c r="G38" s="355">
        <f>'Weighted differ concurrent'!L46</f>
        <v>7232.9</v>
      </c>
      <c r="H38" s="230">
        <v>2445900</v>
      </c>
      <c r="I38" s="230">
        <v>1585</v>
      </c>
      <c r="J38" s="230">
        <f t="shared" si="0"/>
        <v>11464146.5</v>
      </c>
      <c r="K38" s="231">
        <f t="shared" si="1"/>
        <v>33801917.5</v>
      </c>
      <c r="L38" s="232">
        <f>'Revenue Offset'!G37</f>
        <v>0.53480357403864109</v>
      </c>
      <c r="M38" s="233">
        <f t="shared" si="2"/>
        <v>15724531.211640712</v>
      </c>
      <c r="N38" s="227" t="s">
        <v>47</v>
      </c>
      <c r="O38" s="199" t="s">
        <v>48</v>
      </c>
      <c r="P38" s="234">
        <v>200000</v>
      </c>
      <c r="Q38" s="233">
        <f t="shared" si="6"/>
        <v>15924531.211640712</v>
      </c>
      <c r="R38" s="233">
        <v>13452600.34838488</v>
      </c>
      <c r="S38" s="235">
        <f t="shared" si="4"/>
        <v>14688565.780012796</v>
      </c>
    </row>
    <row r="39" spans="1:19" x14ac:dyDescent="0.2">
      <c r="B39" s="103"/>
      <c r="K39" s="5"/>
      <c r="L39" s="102"/>
      <c r="M39" s="5"/>
      <c r="O39" s="103"/>
      <c r="P39" s="5"/>
      <c r="Q39" s="163"/>
      <c r="R39" s="163"/>
    </row>
    <row r="40" spans="1:19" x14ac:dyDescent="0.2">
      <c r="B40" t="s">
        <v>49</v>
      </c>
      <c r="C40" s="11">
        <f>SUM(C9:C39)</f>
        <v>108087</v>
      </c>
      <c r="D40" s="11">
        <f>SUM(D9:D39)</f>
        <v>105050325</v>
      </c>
      <c r="F40" s="11">
        <f>SUM(F9:F39)</f>
        <v>255504741</v>
      </c>
      <c r="G40" s="11">
        <f>SUM(G9:G39)</f>
        <v>219306.50000000003</v>
      </c>
      <c r="H40" s="11">
        <f>SUM(H9:H39)</f>
        <v>61632142</v>
      </c>
      <c r="J40" s="11">
        <f>SUM(J9:J39)</f>
        <v>209449656.79999998</v>
      </c>
      <c r="K40" s="11">
        <f>SUM(K9:K39)</f>
        <v>631636864.80000007</v>
      </c>
      <c r="L40" s="82">
        <f>'Revenue Offset'!G39</f>
        <v>0.48566632051512093</v>
      </c>
      <c r="M40" s="11">
        <f t="shared" ref="M40:S40" si="7">SUM(M9:M39)</f>
        <v>327800253.22633511</v>
      </c>
      <c r="O40" t="s">
        <v>49</v>
      </c>
      <c r="P40" s="11">
        <f t="shared" si="7"/>
        <v>4057500</v>
      </c>
      <c r="Q40" s="11">
        <f t="shared" si="7"/>
        <v>331857753.22633517</v>
      </c>
      <c r="R40" s="11">
        <f t="shared" si="7"/>
        <v>296953811.9721697</v>
      </c>
      <c r="S40" s="11">
        <f t="shared" si="7"/>
        <v>314405782.5992524</v>
      </c>
    </row>
    <row r="41" spans="1:19" x14ac:dyDescent="0.2">
      <c r="B41" s="103"/>
      <c r="L41" s="130"/>
      <c r="O41" s="103"/>
      <c r="Q41" s="130"/>
      <c r="R41" s="130"/>
    </row>
    <row r="42" spans="1:19" x14ac:dyDescent="0.2">
      <c r="A42" s="15" t="s">
        <v>288</v>
      </c>
      <c r="B42" s="131"/>
      <c r="M42" s="132"/>
      <c r="N42" s="15"/>
      <c r="O42" s="131"/>
    </row>
    <row r="43" spans="1:19" x14ac:dyDescent="0.2">
      <c r="A43" s="15"/>
      <c r="B43" s="131"/>
      <c r="N43" s="15"/>
      <c r="O43" s="131"/>
    </row>
    <row r="44" spans="1:19" x14ac:dyDescent="0.2">
      <c r="A44" s="15"/>
      <c r="B44" s="131"/>
      <c r="N44" s="15"/>
      <c r="O44" s="131"/>
    </row>
    <row r="45" spans="1:19" x14ac:dyDescent="0.2">
      <c r="J45" s="156"/>
    </row>
    <row r="46" spans="1:19" x14ac:dyDescent="0.2">
      <c r="E46" s="156"/>
      <c r="I46" s="156"/>
      <c r="L46" s="236"/>
      <c r="M46" s="158"/>
      <c r="P46" s="157"/>
    </row>
    <row r="47" spans="1:19" x14ac:dyDescent="0.2">
      <c r="E47" s="156"/>
      <c r="I47" s="156"/>
      <c r="L47" s="236"/>
      <c r="M47" s="158"/>
      <c r="P47" s="157"/>
    </row>
  </sheetData>
  <pageMargins left="0.7" right="0.7" top="0.75" bottom="0.75" header="0.3" footer="0.3"/>
  <pageSetup scale="84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T52"/>
  <sheetViews>
    <sheetView topLeftCell="A4" zoomScaleNormal="100" workbookViewId="0">
      <selection activeCell="A18" sqref="A18:XFD22"/>
    </sheetView>
  </sheetViews>
  <sheetFormatPr defaultColWidth="9.140625" defaultRowHeight="12.75" x14ac:dyDescent="0.2"/>
  <cols>
    <col min="1" max="1" width="46.28515625" style="244" bestFit="1" customWidth="1"/>
    <col min="2" max="2" width="10" style="244" customWidth="1"/>
    <col min="3" max="3" width="11.85546875" style="244" customWidth="1"/>
    <col min="4" max="4" width="11.28515625" style="244" customWidth="1"/>
    <col min="5" max="6" width="10" style="244" customWidth="1"/>
    <col min="7" max="7" width="11.85546875" style="244" customWidth="1"/>
    <col min="8" max="8" width="11.28515625" style="244" customWidth="1"/>
    <col min="9" max="9" width="8" style="244" customWidth="1"/>
    <col min="10" max="10" width="17.28515625" style="244" customWidth="1"/>
    <col min="11" max="11" width="11.5703125" style="244" customWidth="1"/>
    <col min="12" max="12" width="11.28515625" style="244" customWidth="1"/>
    <col min="13" max="13" width="11.5703125" style="244" customWidth="1"/>
    <col min="14" max="14" width="1.5703125" style="244" customWidth="1"/>
    <col min="15" max="15" width="11.42578125" style="244" customWidth="1"/>
    <col min="16" max="16384" width="9.140625" style="244"/>
  </cols>
  <sheetData>
    <row r="1" spans="1:16" x14ac:dyDescent="0.2">
      <c r="A1" s="431" t="s">
        <v>244</v>
      </c>
      <c r="B1" s="431"/>
      <c r="C1" s="431"/>
      <c r="D1" s="431"/>
      <c r="E1" s="431"/>
      <c r="F1" s="431"/>
      <c r="G1" s="431"/>
      <c r="H1" s="431"/>
      <c r="I1" s="431"/>
      <c r="J1" s="243"/>
      <c r="K1" s="345" t="s">
        <v>267</v>
      </c>
      <c r="L1" s="243" t="s">
        <v>198</v>
      </c>
      <c r="M1" s="243" t="s">
        <v>205</v>
      </c>
    </row>
    <row r="2" spans="1:16" x14ac:dyDescent="0.2">
      <c r="A2" s="242" t="s">
        <v>221</v>
      </c>
      <c r="B2" s="242"/>
      <c r="C2" s="242"/>
      <c r="D2" s="242"/>
      <c r="E2" s="242"/>
      <c r="F2" s="242"/>
      <c r="G2" s="242"/>
      <c r="H2" s="242"/>
      <c r="I2" s="242"/>
      <c r="J2" s="244" t="s">
        <v>222</v>
      </c>
      <c r="L2" s="245">
        <v>0.1</v>
      </c>
      <c r="M2" s="245">
        <v>0.1</v>
      </c>
    </row>
    <row r="3" spans="1:16" x14ac:dyDescent="0.2">
      <c r="A3" s="432" t="s">
        <v>317</v>
      </c>
      <c r="B3" s="432"/>
      <c r="C3" s="432"/>
      <c r="D3" s="432"/>
      <c r="E3" s="432"/>
      <c r="F3" s="432"/>
      <c r="G3" s="432"/>
      <c r="H3" s="432"/>
      <c r="I3" s="432"/>
      <c r="J3" s="244" t="s">
        <v>223</v>
      </c>
      <c r="L3" s="245">
        <v>0.75</v>
      </c>
      <c r="M3" s="245">
        <v>0.75</v>
      </c>
    </row>
    <row r="4" spans="1:16" ht="15.6" customHeight="1" thickBot="1" x14ac:dyDescent="0.25">
      <c r="B4" s="246" t="s">
        <v>78</v>
      </c>
      <c r="C4" s="246" t="s">
        <v>73</v>
      </c>
      <c r="D4" s="246" t="s">
        <v>74</v>
      </c>
      <c r="E4" s="246" t="s">
        <v>75</v>
      </c>
      <c r="F4" s="246" t="s">
        <v>76</v>
      </c>
      <c r="G4" s="246" t="s">
        <v>77</v>
      </c>
      <c r="H4" s="246" t="s">
        <v>224</v>
      </c>
      <c r="I4" s="247"/>
      <c r="J4" s="246" t="s">
        <v>225</v>
      </c>
      <c r="K4" s="246" t="s">
        <v>110</v>
      </c>
      <c r="L4" s="246" t="s">
        <v>226</v>
      </c>
      <c r="M4" s="246" t="s">
        <v>227</v>
      </c>
    </row>
    <row r="5" spans="1:16" s="257" customFormat="1" ht="77.25" thickBot="1" x14ac:dyDescent="0.25">
      <c r="A5" s="248" t="s">
        <v>198</v>
      </c>
      <c r="B5" s="249" t="s">
        <v>228</v>
      </c>
      <c r="C5" s="250" t="s">
        <v>229</v>
      </c>
      <c r="D5" s="251" t="s">
        <v>230</v>
      </c>
      <c r="E5" s="251" t="s">
        <v>231</v>
      </c>
      <c r="F5" s="251" t="s">
        <v>232</v>
      </c>
      <c r="G5" s="252" t="s">
        <v>233</v>
      </c>
      <c r="H5" s="251" t="s">
        <v>234</v>
      </c>
      <c r="I5" s="253" t="s">
        <v>235</v>
      </c>
      <c r="J5" s="254" t="s">
        <v>236</v>
      </c>
      <c r="K5" s="255" t="s">
        <v>237</v>
      </c>
      <c r="L5" s="254" t="s">
        <v>238</v>
      </c>
      <c r="M5" s="256" t="s">
        <v>239</v>
      </c>
    </row>
    <row r="6" spans="1:16" s="268" customFormat="1" ht="12.75" customHeight="1" x14ac:dyDescent="0.2">
      <c r="A6" s="258" t="s">
        <v>185</v>
      </c>
      <c r="B6" s="259">
        <v>4251</v>
      </c>
      <c r="C6" s="260">
        <v>601</v>
      </c>
      <c r="D6" s="261">
        <v>474</v>
      </c>
      <c r="E6" s="261">
        <v>624</v>
      </c>
      <c r="F6" s="293">
        <v>482</v>
      </c>
      <c r="G6" s="403">
        <v>81</v>
      </c>
      <c r="H6" s="262">
        <f>SUM(D6:F6)-G6</f>
        <v>1499</v>
      </c>
      <c r="I6" s="263">
        <f t="shared" ref="I6:I16" si="0">H6/H$48</f>
        <v>9.6853395360858054E-3</v>
      </c>
      <c r="J6" s="264">
        <f t="shared" ref="J6:J36" si="1">H6*$L$2</f>
        <v>149.9</v>
      </c>
      <c r="K6" s="265">
        <f>C6*L3</f>
        <v>450.75</v>
      </c>
      <c r="L6" s="266">
        <f t="shared" ref="L6:L36" si="2">(B6-C6)+J6+K6</f>
        <v>4250.6499999999996</v>
      </c>
      <c r="M6" s="267">
        <f t="shared" ref="M6:M36" si="3">(L6+-B6)/B6</f>
        <v>-8.2333568572186266E-5</v>
      </c>
    </row>
    <row r="7" spans="1:16" s="268" customFormat="1" x14ac:dyDescent="0.2">
      <c r="A7" s="269" t="s">
        <v>186</v>
      </c>
      <c r="B7" s="259">
        <v>10581</v>
      </c>
      <c r="C7" s="260">
        <v>2598</v>
      </c>
      <c r="D7" s="261">
        <v>1716</v>
      </c>
      <c r="E7" s="261">
        <v>2364</v>
      </c>
      <c r="F7" s="270">
        <v>3343</v>
      </c>
      <c r="G7" s="404">
        <v>888</v>
      </c>
      <c r="H7" s="272">
        <f>SUM(D7:F7)-G7</f>
        <v>6535</v>
      </c>
      <c r="I7" s="267">
        <f t="shared" si="0"/>
        <v>4.2223945209019835E-2</v>
      </c>
      <c r="J7" s="273">
        <f t="shared" si="1"/>
        <v>653.5</v>
      </c>
      <c r="K7" s="274">
        <f t="shared" ref="K7:K36" si="4">C7*$L$3</f>
        <v>1948.5</v>
      </c>
      <c r="L7" s="275">
        <f t="shared" si="2"/>
        <v>10585</v>
      </c>
      <c r="M7" s="267">
        <f t="shared" si="3"/>
        <v>3.7803610244778376E-4</v>
      </c>
      <c r="P7" s="287"/>
    </row>
    <row r="8" spans="1:16" s="268" customFormat="1" x14ac:dyDescent="0.2">
      <c r="A8" s="269" t="s">
        <v>187</v>
      </c>
      <c r="B8" s="259">
        <v>2627</v>
      </c>
      <c r="C8" s="260">
        <v>93</v>
      </c>
      <c r="D8" s="261">
        <v>613</v>
      </c>
      <c r="E8" s="261">
        <v>961</v>
      </c>
      <c r="F8" s="270">
        <v>1010</v>
      </c>
      <c r="G8" s="404">
        <v>34</v>
      </c>
      <c r="H8" s="272">
        <f t="shared" ref="H8:H35" si="5">SUM(D8:F8)-G8</f>
        <v>2550</v>
      </c>
      <c r="I8" s="267">
        <f t="shared" si="0"/>
        <v>1.6476061252180655E-2</v>
      </c>
      <c r="J8" s="273">
        <f t="shared" si="1"/>
        <v>255</v>
      </c>
      <c r="K8" s="274">
        <f t="shared" si="4"/>
        <v>69.75</v>
      </c>
      <c r="L8" s="275">
        <f t="shared" si="2"/>
        <v>2858.75</v>
      </c>
      <c r="M8" s="267">
        <f t="shared" si="3"/>
        <v>8.8218500190331173E-2</v>
      </c>
    </row>
    <row r="9" spans="1:16" s="268" customFormat="1" x14ac:dyDescent="0.2">
      <c r="A9" s="269" t="s">
        <v>7</v>
      </c>
      <c r="B9" s="259">
        <v>5906</v>
      </c>
      <c r="C9" s="260">
        <v>3075</v>
      </c>
      <c r="D9" s="261">
        <v>784</v>
      </c>
      <c r="E9" s="261">
        <v>980</v>
      </c>
      <c r="F9" s="270">
        <v>688</v>
      </c>
      <c r="G9" s="404">
        <v>520</v>
      </c>
      <c r="H9" s="272">
        <f t="shared" si="5"/>
        <v>1932</v>
      </c>
      <c r="I9" s="267">
        <f t="shared" si="0"/>
        <v>1.248303934871099E-2</v>
      </c>
      <c r="J9" s="273">
        <f t="shared" si="1"/>
        <v>193.20000000000002</v>
      </c>
      <c r="K9" s="274">
        <f t="shared" si="4"/>
        <v>2306.25</v>
      </c>
      <c r="L9" s="275">
        <f t="shared" si="2"/>
        <v>5330.45</v>
      </c>
      <c r="M9" s="267">
        <f t="shared" si="3"/>
        <v>-9.7451743989163592E-2</v>
      </c>
    </row>
    <row r="10" spans="1:16" s="268" customFormat="1" x14ac:dyDescent="0.2">
      <c r="A10" s="269" t="s">
        <v>9</v>
      </c>
      <c r="B10" s="259">
        <v>12099</v>
      </c>
      <c r="C10" s="260">
        <v>859</v>
      </c>
      <c r="D10" s="261">
        <v>2842</v>
      </c>
      <c r="E10" s="261">
        <v>4145</v>
      </c>
      <c r="F10" s="270">
        <v>5505</v>
      </c>
      <c r="G10" s="404">
        <v>445</v>
      </c>
      <c r="H10" s="272">
        <f t="shared" si="5"/>
        <v>12047</v>
      </c>
      <c r="I10" s="267">
        <f t="shared" si="0"/>
        <v>7.7838082315694251E-2</v>
      </c>
      <c r="J10" s="273">
        <f t="shared" si="1"/>
        <v>1204.7</v>
      </c>
      <c r="K10" s="274">
        <f t="shared" si="4"/>
        <v>644.25</v>
      </c>
      <c r="L10" s="275">
        <f t="shared" si="2"/>
        <v>13088.95</v>
      </c>
      <c r="M10" s="267">
        <f t="shared" si="3"/>
        <v>8.1820811637325463E-2</v>
      </c>
      <c r="P10" s="287"/>
    </row>
    <row r="11" spans="1:16" s="268" customFormat="1" x14ac:dyDescent="0.2">
      <c r="A11" s="269" t="s">
        <v>188</v>
      </c>
      <c r="B11" s="259">
        <v>3602</v>
      </c>
      <c r="C11" s="260">
        <v>156</v>
      </c>
      <c r="D11" s="261">
        <v>697</v>
      </c>
      <c r="E11" s="261">
        <v>999</v>
      </c>
      <c r="F11" s="270">
        <v>1145</v>
      </c>
      <c r="G11" s="404">
        <v>80</v>
      </c>
      <c r="H11" s="272">
        <f t="shared" si="5"/>
        <v>2761</v>
      </c>
      <c r="I11" s="267">
        <f t="shared" si="0"/>
        <v>1.7839374555792466E-2</v>
      </c>
      <c r="J11" s="273">
        <f t="shared" si="1"/>
        <v>276.10000000000002</v>
      </c>
      <c r="K11" s="274">
        <f t="shared" si="4"/>
        <v>117</v>
      </c>
      <c r="L11" s="275">
        <f t="shared" si="2"/>
        <v>3839.1</v>
      </c>
      <c r="M11" s="267">
        <f t="shared" si="3"/>
        <v>6.5824541921154889E-2</v>
      </c>
    </row>
    <row r="12" spans="1:16" s="268" customFormat="1" x14ac:dyDescent="0.2">
      <c r="A12" s="269" t="s">
        <v>212</v>
      </c>
      <c r="B12" s="259">
        <v>2106</v>
      </c>
      <c r="C12" s="260">
        <v>1255</v>
      </c>
      <c r="D12" s="261">
        <v>284</v>
      </c>
      <c r="E12" s="261">
        <v>429</v>
      </c>
      <c r="F12" s="270">
        <v>496</v>
      </c>
      <c r="G12" s="404">
        <v>202</v>
      </c>
      <c r="H12" s="272">
        <f t="shared" si="5"/>
        <v>1007</v>
      </c>
      <c r="I12" s="267">
        <f t="shared" si="0"/>
        <v>6.5064288944885959E-3</v>
      </c>
      <c r="J12" s="273">
        <f t="shared" si="1"/>
        <v>100.7</v>
      </c>
      <c r="K12" s="274">
        <f t="shared" si="4"/>
        <v>941.25</v>
      </c>
      <c r="L12" s="275">
        <f t="shared" si="2"/>
        <v>1892.95</v>
      </c>
      <c r="M12" s="267">
        <f t="shared" si="3"/>
        <v>-0.10116334283000948</v>
      </c>
    </row>
    <row r="13" spans="1:16" s="268" customFormat="1" x14ac:dyDescent="0.2">
      <c r="A13" s="269" t="s">
        <v>137</v>
      </c>
      <c r="B13" s="259">
        <v>5915</v>
      </c>
      <c r="C13" s="260">
        <v>582</v>
      </c>
      <c r="D13" s="261">
        <v>1464</v>
      </c>
      <c r="E13" s="261">
        <v>1748</v>
      </c>
      <c r="F13" s="270">
        <v>2824</v>
      </c>
      <c r="G13" s="404">
        <v>128</v>
      </c>
      <c r="H13" s="272">
        <f t="shared" si="5"/>
        <v>5908</v>
      </c>
      <c r="I13" s="267">
        <f t="shared" si="0"/>
        <v>3.8172772501130707E-2</v>
      </c>
      <c r="J13" s="273">
        <f t="shared" si="1"/>
        <v>590.80000000000007</v>
      </c>
      <c r="K13" s="274">
        <f t="shared" si="4"/>
        <v>436.5</v>
      </c>
      <c r="L13" s="275">
        <f t="shared" si="2"/>
        <v>6360.3</v>
      </c>
      <c r="M13" s="267">
        <f t="shared" si="3"/>
        <v>7.5283178360101469E-2</v>
      </c>
    </row>
    <row r="14" spans="1:16" s="268" customFormat="1" x14ac:dyDescent="0.2">
      <c r="A14" s="269" t="s">
        <v>189</v>
      </c>
      <c r="B14" s="259">
        <v>5286</v>
      </c>
      <c r="C14" s="260">
        <v>672</v>
      </c>
      <c r="D14" s="261">
        <v>1039</v>
      </c>
      <c r="E14" s="261">
        <v>1320</v>
      </c>
      <c r="F14" s="270">
        <v>2340</v>
      </c>
      <c r="G14" s="404">
        <v>381</v>
      </c>
      <c r="H14" s="272">
        <f t="shared" si="5"/>
        <v>4318</v>
      </c>
      <c r="I14" s="267">
        <f t="shared" si="0"/>
        <v>2.7899463720359244E-2</v>
      </c>
      <c r="J14" s="273">
        <f t="shared" si="1"/>
        <v>431.8</v>
      </c>
      <c r="K14" s="274">
        <f t="shared" si="4"/>
        <v>504</v>
      </c>
      <c r="L14" s="275">
        <f t="shared" si="2"/>
        <v>5549.8</v>
      </c>
      <c r="M14" s="267">
        <f t="shared" si="3"/>
        <v>4.9905410518350395E-2</v>
      </c>
    </row>
    <row r="15" spans="1:16" s="268" customFormat="1" x14ac:dyDescent="0.2">
      <c r="A15" s="269" t="s">
        <v>17</v>
      </c>
      <c r="B15" s="259">
        <v>5607</v>
      </c>
      <c r="C15" s="260">
        <v>1025</v>
      </c>
      <c r="D15" s="261">
        <v>650</v>
      </c>
      <c r="E15" s="261">
        <v>1124</v>
      </c>
      <c r="F15" s="270">
        <v>843</v>
      </c>
      <c r="G15" s="404">
        <v>162</v>
      </c>
      <c r="H15" s="272">
        <f t="shared" si="5"/>
        <v>2455</v>
      </c>
      <c r="I15" s="267">
        <f t="shared" si="0"/>
        <v>1.5862247205530786E-2</v>
      </c>
      <c r="J15" s="273">
        <f t="shared" si="1"/>
        <v>245.5</v>
      </c>
      <c r="K15" s="274">
        <f t="shared" si="4"/>
        <v>768.75</v>
      </c>
      <c r="L15" s="275">
        <f t="shared" si="2"/>
        <v>5596.25</v>
      </c>
      <c r="M15" s="267">
        <f t="shared" si="3"/>
        <v>-1.9172462992687713E-3</v>
      </c>
    </row>
    <row r="16" spans="1:16" s="268" customFormat="1" x14ac:dyDescent="0.2">
      <c r="A16" s="269" t="s">
        <v>190</v>
      </c>
      <c r="B16" s="259">
        <v>9581</v>
      </c>
      <c r="C16" s="260">
        <v>541</v>
      </c>
      <c r="D16" s="261">
        <v>3109</v>
      </c>
      <c r="E16" s="261">
        <v>4124</v>
      </c>
      <c r="F16" s="270">
        <v>5744</v>
      </c>
      <c r="G16" s="404">
        <v>383</v>
      </c>
      <c r="H16" s="272">
        <f t="shared" si="5"/>
        <v>12594</v>
      </c>
      <c r="I16" s="267">
        <f t="shared" si="0"/>
        <v>8.1372358984299287E-2</v>
      </c>
      <c r="J16" s="273">
        <f t="shared" si="1"/>
        <v>1259.4000000000001</v>
      </c>
      <c r="K16" s="274">
        <f t="shared" si="4"/>
        <v>405.75</v>
      </c>
      <c r="L16" s="275">
        <f t="shared" si="2"/>
        <v>10705.15</v>
      </c>
      <c r="M16" s="267">
        <f t="shared" si="3"/>
        <v>0.11733117628640014</v>
      </c>
    </row>
    <row r="17" spans="1:15" s="268" customFormat="1" x14ac:dyDescent="0.2">
      <c r="A17" s="405" t="s">
        <v>293</v>
      </c>
      <c r="B17" s="406">
        <v>3688</v>
      </c>
      <c r="C17" s="407">
        <v>661</v>
      </c>
      <c r="D17" s="408">
        <v>569</v>
      </c>
      <c r="E17" s="408">
        <v>1191</v>
      </c>
      <c r="F17" s="408">
        <v>710</v>
      </c>
      <c r="G17" s="409">
        <v>147</v>
      </c>
      <c r="H17" s="272">
        <f t="shared" ref="H17:H22" si="6">SUM(D17:F17)-G17</f>
        <v>2323</v>
      </c>
      <c r="I17" s="410">
        <f t="shared" ref="I17" si="7">SUM(I18:I22)</f>
        <v>0</v>
      </c>
      <c r="J17" s="273">
        <f t="shared" ref="J17:J22" si="8">H17*$L$2</f>
        <v>232.3</v>
      </c>
      <c r="K17" s="274">
        <f t="shared" ref="K17:K22" si="9">C17*$L$3</f>
        <v>495.75</v>
      </c>
      <c r="L17" s="275">
        <f t="shared" ref="L17:L22" si="10">(B17-C17)+J17+K17</f>
        <v>3755.05</v>
      </c>
      <c r="M17" s="267">
        <f t="shared" ref="M17" si="11">(L17+-B17)/B17</f>
        <v>1.818058568329723E-2</v>
      </c>
    </row>
    <row r="18" spans="1:15" s="268" customFormat="1" hidden="1" x14ac:dyDescent="0.2">
      <c r="A18" s="277" t="s">
        <v>215</v>
      </c>
      <c r="B18" s="259"/>
      <c r="C18" s="260"/>
      <c r="D18" s="261"/>
      <c r="E18" s="261"/>
      <c r="F18" s="270"/>
      <c r="G18" s="271"/>
      <c r="H18" s="272">
        <f t="shared" si="6"/>
        <v>0</v>
      </c>
      <c r="I18" s="267">
        <f t="shared" ref="I18:I27" si="12">H18/H$48</f>
        <v>0</v>
      </c>
      <c r="J18" s="273">
        <f t="shared" si="8"/>
        <v>0</v>
      </c>
      <c r="K18" s="274">
        <f t="shared" si="9"/>
        <v>0</v>
      </c>
      <c r="L18" s="275">
        <f t="shared" si="10"/>
        <v>0</v>
      </c>
      <c r="M18" s="267"/>
    </row>
    <row r="19" spans="1:15" s="268" customFormat="1" hidden="1" x14ac:dyDescent="0.2">
      <c r="A19" s="277" t="s">
        <v>216</v>
      </c>
      <c r="B19" s="259"/>
      <c r="C19" s="260"/>
      <c r="D19" s="261"/>
      <c r="E19" s="261"/>
      <c r="F19" s="270"/>
      <c r="G19" s="271"/>
      <c r="H19" s="272">
        <f t="shared" si="6"/>
        <v>0</v>
      </c>
      <c r="I19" s="267">
        <f t="shared" si="12"/>
        <v>0</v>
      </c>
      <c r="J19" s="273">
        <f t="shared" si="8"/>
        <v>0</v>
      </c>
      <c r="K19" s="274">
        <f t="shared" si="9"/>
        <v>0</v>
      </c>
      <c r="L19" s="275">
        <f t="shared" si="10"/>
        <v>0</v>
      </c>
      <c r="M19" s="267"/>
    </row>
    <row r="20" spans="1:15" s="268" customFormat="1" hidden="1" x14ac:dyDescent="0.2">
      <c r="A20" s="277" t="s">
        <v>217</v>
      </c>
      <c r="B20" s="259"/>
      <c r="C20" s="260"/>
      <c r="D20" s="261"/>
      <c r="E20" s="261"/>
      <c r="F20" s="270"/>
      <c r="G20" s="271"/>
      <c r="H20" s="272">
        <f t="shared" si="6"/>
        <v>0</v>
      </c>
      <c r="I20" s="267">
        <f t="shared" si="12"/>
        <v>0</v>
      </c>
      <c r="J20" s="273">
        <f t="shared" si="8"/>
        <v>0</v>
      </c>
      <c r="K20" s="274">
        <f t="shared" si="9"/>
        <v>0</v>
      </c>
      <c r="L20" s="275">
        <f t="shared" si="10"/>
        <v>0</v>
      </c>
      <c r="M20" s="267"/>
    </row>
    <row r="21" spans="1:15" s="268" customFormat="1" hidden="1" x14ac:dyDescent="0.2">
      <c r="A21" s="277" t="s">
        <v>218</v>
      </c>
      <c r="B21" s="259"/>
      <c r="C21" s="260"/>
      <c r="D21" s="261"/>
      <c r="E21" s="261"/>
      <c r="F21" s="270"/>
      <c r="G21" s="271"/>
      <c r="H21" s="272">
        <f t="shared" si="6"/>
        <v>0</v>
      </c>
      <c r="I21" s="267">
        <f t="shared" si="12"/>
        <v>0</v>
      </c>
      <c r="J21" s="273">
        <f t="shared" si="8"/>
        <v>0</v>
      </c>
      <c r="K21" s="274">
        <f t="shared" si="9"/>
        <v>0</v>
      </c>
      <c r="L21" s="275">
        <f t="shared" si="10"/>
        <v>0</v>
      </c>
      <c r="M21" s="267"/>
    </row>
    <row r="22" spans="1:15" s="268" customFormat="1" hidden="1" x14ac:dyDescent="0.2">
      <c r="A22" s="277" t="s">
        <v>219</v>
      </c>
      <c r="B22" s="259"/>
      <c r="C22" s="260"/>
      <c r="D22" s="261"/>
      <c r="E22" s="261"/>
      <c r="F22" s="270"/>
      <c r="G22" s="271"/>
      <c r="H22" s="272">
        <f t="shared" si="6"/>
        <v>0</v>
      </c>
      <c r="I22" s="267">
        <f t="shared" si="12"/>
        <v>0</v>
      </c>
      <c r="J22" s="273">
        <f t="shared" si="8"/>
        <v>0</v>
      </c>
      <c r="K22" s="274">
        <f t="shared" si="9"/>
        <v>0</v>
      </c>
      <c r="L22" s="275">
        <f t="shared" si="10"/>
        <v>0</v>
      </c>
      <c r="M22" s="267"/>
    </row>
    <row r="23" spans="1:15" s="268" customFormat="1" x14ac:dyDescent="0.2">
      <c r="A23" s="269" t="s">
        <v>191</v>
      </c>
      <c r="B23" s="259">
        <v>2692</v>
      </c>
      <c r="C23" s="260">
        <v>605</v>
      </c>
      <c r="D23" s="261">
        <v>401</v>
      </c>
      <c r="E23" s="261">
        <v>673</v>
      </c>
      <c r="F23" s="270">
        <v>460</v>
      </c>
      <c r="G23" s="404">
        <v>91</v>
      </c>
      <c r="H23" s="272">
        <f t="shared" si="5"/>
        <v>1443</v>
      </c>
      <c r="I23" s="267">
        <f t="shared" si="12"/>
        <v>9.3235123085869346E-3</v>
      </c>
      <c r="J23" s="273">
        <f t="shared" si="1"/>
        <v>144.30000000000001</v>
      </c>
      <c r="K23" s="274">
        <f t="shared" si="4"/>
        <v>453.75</v>
      </c>
      <c r="L23" s="275">
        <f t="shared" si="2"/>
        <v>2685.05</v>
      </c>
      <c r="M23" s="267">
        <f t="shared" si="3"/>
        <v>-2.5817236255571388E-3</v>
      </c>
    </row>
    <row r="24" spans="1:15" s="268" customFormat="1" x14ac:dyDescent="0.2">
      <c r="A24" s="269" t="s">
        <v>192</v>
      </c>
      <c r="B24" s="259">
        <v>6711</v>
      </c>
      <c r="C24" s="260">
        <v>1982</v>
      </c>
      <c r="D24" s="261">
        <v>1070</v>
      </c>
      <c r="E24" s="261">
        <v>1821</v>
      </c>
      <c r="F24" s="270">
        <v>1539</v>
      </c>
      <c r="G24" s="404">
        <v>311</v>
      </c>
      <c r="H24" s="272">
        <f t="shared" si="5"/>
        <v>4119</v>
      </c>
      <c r="I24" s="267">
        <f t="shared" si="12"/>
        <v>2.6613684822640045E-2</v>
      </c>
      <c r="J24" s="273">
        <f t="shared" si="1"/>
        <v>411.90000000000003</v>
      </c>
      <c r="K24" s="274">
        <f t="shared" si="4"/>
        <v>1486.5</v>
      </c>
      <c r="L24" s="275">
        <f t="shared" si="2"/>
        <v>6627.4</v>
      </c>
      <c r="M24" s="267">
        <f t="shared" si="3"/>
        <v>-1.2457159886753146E-2</v>
      </c>
    </row>
    <row r="25" spans="1:15" s="268" customFormat="1" x14ac:dyDescent="0.2">
      <c r="A25" s="269" t="s">
        <v>214</v>
      </c>
      <c r="B25" s="259">
        <v>4818</v>
      </c>
      <c r="C25" s="260">
        <v>819</v>
      </c>
      <c r="D25" s="261">
        <v>983</v>
      </c>
      <c r="E25" s="261">
        <v>770</v>
      </c>
      <c r="F25" s="270">
        <v>1016</v>
      </c>
      <c r="G25" s="404">
        <v>208</v>
      </c>
      <c r="H25" s="272">
        <f t="shared" si="5"/>
        <v>2561</v>
      </c>
      <c r="I25" s="267">
        <f t="shared" si="12"/>
        <v>1.654713445758222E-2</v>
      </c>
      <c r="J25" s="273">
        <f t="shared" si="1"/>
        <v>256.10000000000002</v>
      </c>
      <c r="K25" s="274">
        <f t="shared" si="4"/>
        <v>614.25</v>
      </c>
      <c r="L25" s="275">
        <f t="shared" si="2"/>
        <v>4869.3500000000004</v>
      </c>
      <c r="M25" s="267">
        <f t="shared" si="3"/>
        <v>1.065794935657957E-2</v>
      </c>
    </row>
    <row r="26" spans="1:15" s="268" customFormat="1" x14ac:dyDescent="0.2">
      <c r="A26" s="269" t="s">
        <v>130</v>
      </c>
      <c r="B26" s="259">
        <v>14825</v>
      </c>
      <c r="C26" s="260">
        <v>1431</v>
      </c>
      <c r="D26" s="261">
        <v>3311</v>
      </c>
      <c r="E26" s="261">
        <v>4097</v>
      </c>
      <c r="F26" s="270">
        <v>6979</v>
      </c>
      <c r="G26" s="404">
        <v>647</v>
      </c>
      <c r="H26" s="272">
        <f t="shared" si="5"/>
        <v>13740</v>
      </c>
      <c r="I26" s="267">
        <f t="shared" si="12"/>
        <v>8.8776894747044005E-2</v>
      </c>
      <c r="J26" s="273">
        <f t="shared" si="1"/>
        <v>1374</v>
      </c>
      <c r="K26" s="274">
        <f t="shared" si="4"/>
        <v>1073.25</v>
      </c>
      <c r="L26" s="275">
        <f t="shared" si="2"/>
        <v>15841.25</v>
      </c>
      <c r="M26" s="267">
        <f>(L26+-B26)/B26</f>
        <v>6.8549747048903875E-2</v>
      </c>
    </row>
    <row r="27" spans="1:15" s="268" customFormat="1" x14ac:dyDescent="0.2">
      <c r="A27" s="276" t="s">
        <v>131</v>
      </c>
      <c r="B27" s="259">
        <v>7229</v>
      </c>
      <c r="C27" s="260">
        <v>613</v>
      </c>
      <c r="D27" s="261">
        <v>1570</v>
      </c>
      <c r="E27" s="261">
        <v>2282</v>
      </c>
      <c r="F27" s="270">
        <v>4031</v>
      </c>
      <c r="G27" s="404">
        <v>215</v>
      </c>
      <c r="H27" s="272">
        <f t="shared" si="5"/>
        <v>7668</v>
      </c>
      <c r="I27" s="267">
        <f t="shared" si="12"/>
        <v>4.9544485365380884E-2</v>
      </c>
      <c r="J27" s="273">
        <f t="shared" si="1"/>
        <v>766.80000000000007</v>
      </c>
      <c r="K27" s="274">
        <f t="shared" si="4"/>
        <v>459.75</v>
      </c>
      <c r="L27" s="275">
        <f t="shared" si="2"/>
        <v>7842.55</v>
      </c>
      <c r="M27" s="267">
        <f t="shared" si="3"/>
        <v>8.4873426476691133E-2</v>
      </c>
    </row>
    <row r="28" spans="1:15" s="268" customFormat="1" x14ac:dyDescent="0.2">
      <c r="A28" s="269" t="s">
        <v>220</v>
      </c>
      <c r="B28" s="259">
        <v>3261</v>
      </c>
      <c r="C28" s="260">
        <v>279</v>
      </c>
      <c r="D28" s="261">
        <v>567</v>
      </c>
      <c r="E28" s="261">
        <v>755</v>
      </c>
      <c r="F28" s="270">
        <v>604</v>
      </c>
      <c r="G28" s="404">
        <v>51</v>
      </c>
      <c r="H28" s="272">
        <f t="shared" si="5"/>
        <v>1875</v>
      </c>
      <c r="I28" s="267">
        <f t="shared" ref="I28:I36" si="13">H28/H$48</f>
        <v>1.2114750920721069E-2</v>
      </c>
      <c r="J28" s="273">
        <f t="shared" si="1"/>
        <v>187.5</v>
      </c>
      <c r="K28" s="274">
        <f t="shared" si="4"/>
        <v>209.25</v>
      </c>
      <c r="L28" s="275">
        <f t="shared" si="2"/>
        <v>3378.75</v>
      </c>
      <c r="M28" s="267">
        <f t="shared" si="3"/>
        <v>3.610855565777369E-2</v>
      </c>
    </row>
    <row r="29" spans="1:15" s="268" customFormat="1" x14ac:dyDescent="0.2">
      <c r="A29" s="269" t="s">
        <v>194</v>
      </c>
      <c r="B29" s="259">
        <v>1477</v>
      </c>
      <c r="C29" s="260">
        <v>0</v>
      </c>
      <c r="D29" s="261">
        <v>286</v>
      </c>
      <c r="E29" s="261">
        <v>448</v>
      </c>
      <c r="F29" s="270">
        <v>384</v>
      </c>
      <c r="G29" s="404">
        <v>0</v>
      </c>
      <c r="H29" s="272">
        <f t="shared" si="5"/>
        <v>1118</v>
      </c>
      <c r="I29" s="267">
        <f t="shared" si="13"/>
        <v>7.223622148995283E-3</v>
      </c>
      <c r="J29" s="273">
        <f t="shared" si="1"/>
        <v>111.80000000000001</v>
      </c>
      <c r="K29" s="274">
        <f t="shared" si="4"/>
        <v>0</v>
      </c>
      <c r="L29" s="275">
        <f t="shared" si="2"/>
        <v>1588.8</v>
      </c>
      <c r="M29" s="267">
        <f t="shared" si="3"/>
        <v>7.5693974272173295E-2</v>
      </c>
      <c r="O29" s="287"/>
    </row>
    <row r="30" spans="1:15" s="268" customFormat="1" x14ac:dyDescent="0.2">
      <c r="A30" s="269" t="s">
        <v>195</v>
      </c>
      <c r="B30" s="259">
        <v>2646</v>
      </c>
      <c r="C30" s="260">
        <v>1323</v>
      </c>
      <c r="D30" s="261">
        <v>359</v>
      </c>
      <c r="E30" s="261">
        <v>380</v>
      </c>
      <c r="F30" s="270">
        <v>433</v>
      </c>
      <c r="G30" s="404">
        <v>280</v>
      </c>
      <c r="H30" s="272">
        <f t="shared" si="5"/>
        <v>892</v>
      </c>
      <c r="I30" s="267">
        <f t="shared" si="13"/>
        <v>5.763390838017704E-3</v>
      </c>
      <c r="J30" s="273">
        <f t="shared" si="1"/>
        <v>89.2</v>
      </c>
      <c r="K30" s="274">
        <f t="shared" si="4"/>
        <v>992.25</v>
      </c>
      <c r="L30" s="275">
        <f t="shared" si="2"/>
        <v>2404.4499999999998</v>
      </c>
      <c r="M30" s="267">
        <f t="shared" si="3"/>
        <v>-9.1288737717309221E-2</v>
      </c>
    </row>
    <row r="31" spans="1:15" s="268" customFormat="1" x14ac:dyDescent="0.2">
      <c r="A31" s="269" t="s">
        <v>36</v>
      </c>
      <c r="B31" s="259">
        <v>3540</v>
      </c>
      <c r="C31" s="260">
        <v>144</v>
      </c>
      <c r="D31" s="261">
        <v>744</v>
      </c>
      <c r="E31" s="261">
        <v>1179</v>
      </c>
      <c r="F31" s="270">
        <v>690</v>
      </c>
      <c r="G31" s="404">
        <v>21</v>
      </c>
      <c r="H31" s="272">
        <f t="shared" si="5"/>
        <v>2592</v>
      </c>
      <c r="I31" s="267">
        <f t="shared" si="13"/>
        <v>1.6747431672804809E-2</v>
      </c>
      <c r="J31" s="273">
        <f t="shared" si="1"/>
        <v>259.2</v>
      </c>
      <c r="K31" s="274">
        <f t="shared" si="4"/>
        <v>108</v>
      </c>
      <c r="L31" s="275">
        <f t="shared" si="2"/>
        <v>3763.2</v>
      </c>
      <c r="M31" s="267">
        <f t="shared" si="3"/>
        <v>6.3050847457627068E-2</v>
      </c>
    </row>
    <row r="32" spans="1:15" s="268" customFormat="1" x14ac:dyDescent="0.2">
      <c r="A32" s="269" t="s">
        <v>129</v>
      </c>
      <c r="B32" s="259">
        <v>4775</v>
      </c>
      <c r="C32" s="260">
        <v>1496</v>
      </c>
      <c r="D32" s="261">
        <v>1013</v>
      </c>
      <c r="E32" s="261">
        <v>1207</v>
      </c>
      <c r="F32" s="270">
        <v>1239</v>
      </c>
      <c r="G32" s="404">
        <v>363</v>
      </c>
      <c r="H32" s="272">
        <f t="shared" si="5"/>
        <v>3096</v>
      </c>
      <c r="I32" s="267">
        <f t="shared" si="13"/>
        <v>2.000387672029463E-2</v>
      </c>
      <c r="J32" s="273">
        <f t="shared" si="1"/>
        <v>309.60000000000002</v>
      </c>
      <c r="K32" s="274">
        <f t="shared" si="4"/>
        <v>1122</v>
      </c>
      <c r="L32" s="275">
        <f t="shared" si="2"/>
        <v>4710.6000000000004</v>
      </c>
      <c r="M32" s="267">
        <f t="shared" si="3"/>
        <v>-1.3486910994764323E-2</v>
      </c>
    </row>
    <row r="33" spans="1:20" s="268" customFormat="1" x14ac:dyDescent="0.2">
      <c r="A33" s="269" t="s">
        <v>196</v>
      </c>
      <c r="B33" s="259">
        <v>6268</v>
      </c>
      <c r="C33" s="260">
        <v>401</v>
      </c>
      <c r="D33" s="261">
        <v>1310</v>
      </c>
      <c r="E33" s="261">
        <v>1908</v>
      </c>
      <c r="F33" s="270">
        <v>2149</v>
      </c>
      <c r="G33" s="404">
        <v>157</v>
      </c>
      <c r="H33" s="272">
        <f t="shared" si="5"/>
        <v>5210</v>
      </c>
      <c r="I33" s="267">
        <f t="shared" si="13"/>
        <v>3.3662854558376948E-2</v>
      </c>
      <c r="J33" s="273">
        <f t="shared" si="1"/>
        <v>521</v>
      </c>
      <c r="K33" s="274">
        <f t="shared" si="4"/>
        <v>300.75</v>
      </c>
      <c r="L33" s="275">
        <f t="shared" si="2"/>
        <v>6688.75</v>
      </c>
      <c r="M33" s="267">
        <f t="shared" si="3"/>
        <v>6.7126675175494574E-2</v>
      </c>
    </row>
    <row r="34" spans="1:20" s="268" customFormat="1" ht="12.75" customHeight="1" x14ac:dyDescent="0.2">
      <c r="A34" s="258" t="s">
        <v>197</v>
      </c>
      <c r="B34" s="259">
        <v>4968</v>
      </c>
      <c r="C34" s="260">
        <v>94</v>
      </c>
      <c r="D34" s="261">
        <v>1197</v>
      </c>
      <c r="E34" s="261">
        <v>1798</v>
      </c>
      <c r="F34" s="270">
        <v>1553</v>
      </c>
      <c r="G34" s="404">
        <v>14</v>
      </c>
      <c r="H34" s="272">
        <f t="shared" si="5"/>
        <v>4534</v>
      </c>
      <c r="I34" s="267">
        <f t="shared" si="13"/>
        <v>2.9295083026426309E-2</v>
      </c>
      <c r="J34" s="273">
        <f t="shared" si="1"/>
        <v>453.40000000000003</v>
      </c>
      <c r="K34" s="274">
        <f t="shared" si="4"/>
        <v>70.5</v>
      </c>
      <c r="L34" s="275">
        <f t="shared" si="2"/>
        <v>5397.9</v>
      </c>
      <c r="M34" s="267">
        <f t="shared" si="3"/>
        <v>8.6533816425120702E-2</v>
      </c>
    </row>
    <row r="35" spans="1:20" s="268" customFormat="1" x14ac:dyDescent="0.2">
      <c r="A35" s="269" t="s">
        <v>69</v>
      </c>
      <c r="B35" s="259">
        <v>7550</v>
      </c>
      <c r="C35" s="260">
        <v>721</v>
      </c>
      <c r="D35" s="261">
        <v>2527</v>
      </c>
      <c r="E35" s="261">
        <v>3221</v>
      </c>
      <c r="F35" s="270">
        <v>5063</v>
      </c>
      <c r="G35" s="404">
        <v>542</v>
      </c>
      <c r="H35" s="272">
        <f t="shared" si="5"/>
        <v>10269</v>
      </c>
      <c r="I35" s="267">
        <f t="shared" si="13"/>
        <v>6.6350067842605151E-2</v>
      </c>
      <c r="J35" s="273">
        <f t="shared" si="1"/>
        <v>1026.9000000000001</v>
      </c>
      <c r="K35" s="274">
        <f t="shared" si="4"/>
        <v>540.75</v>
      </c>
      <c r="L35" s="275">
        <f t="shared" si="2"/>
        <v>8396.65</v>
      </c>
      <c r="M35" s="267">
        <f t="shared" si="3"/>
        <v>0.11213907284768207</v>
      </c>
    </row>
    <row r="36" spans="1:20" s="268" customFormat="1" ht="13.5" thickBot="1" x14ac:dyDescent="0.25">
      <c r="A36" s="278" t="s">
        <v>115</v>
      </c>
      <c r="B36" s="259">
        <v>4499</v>
      </c>
      <c r="C36" s="260">
        <v>331</v>
      </c>
      <c r="D36" s="261">
        <v>995</v>
      </c>
      <c r="E36" s="261">
        <v>1242</v>
      </c>
      <c r="F36" s="270">
        <v>1044</v>
      </c>
      <c r="G36" s="404">
        <v>126</v>
      </c>
      <c r="H36" s="272">
        <f>SUM(D36:F36)-G36</f>
        <v>3155</v>
      </c>
      <c r="I36" s="279">
        <f t="shared" si="13"/>
        <v>2.0385087549266653E-2</v>
      </c>
      <c r="J36" s="273">
        <f t="shared" si="1"/>
        <v>315.5</v>
      </c>
      <c r="K36" s="280">
        <f t="shared" si="4"/>
        <v>248.25</v>
      </c>
      <c r="L36" s="275">
        <f t="shared" si="2"/>
        <v>4731.75</v>
      </c>
      <c r="M36" s="267">
        <f t="shared" si="3"/>
        <v>5.1733718604134254E-2</v>
      </c>
    </row>
    <row r="37" spans="1:20" s="286" customFormat="1" ht="13.5" thickBot="1" x14ac:dyDescent="0.25">
      <c r="A37" s="281" t="s">
        <v>240</v>
      </c>
      <c r="B37" s="282">
        <f>SUM(B6:B36)</f>
        <v>146508</v>
      </c>
      <c r="C37" s="283">
        <f t="shared" ref="C37:H37" si="14">SUM(C6:C36)</f>
        <v>22357</v>
      </c>
      <c r="D37" s="284">
        <f t="shared" si="14"/>
        <v>30574</v>
      </c>
      <c r="E37" s="284">
        <f t="shared" si="14"/>
        <v>41790</v>
      </c>
      <c r="F37" s="284">
        <f t="shared" si="14"/>
        <v>52314</v>
      </c>
      <c r="G37" s="283">
        <f t="shared" si="14"/>
        <v>6477</v>
      </c>
      <c r="H37" s="284">
        <f t="shared" si="14"/>
        <v>118201</v>
      </c>
      <c r="I37" s="285">
        <f>SUM(I6:I17,I23:I36)</f>
        <v>0.74871099050203527</v>
      </c>
      <c r="J37" s="282">
        <f t="shared" ref="J37:L37" si="15">SUM(J6:J36)</f>
        <v>11820.1</v>
      </c>
      <c r="K37" s="283">
        <f t="shared" si="15"/>
        <v>16767.75</v>
      </c>
      <c r="L37" s="282">
        <f t="shared" si="15"/>
        <v>152738.85</v>
      </c>
      <c r="M37" s="267">
        <f>(L37+-B37)/B37</f>
        <v>4.2529076910475916E-2</v>
      </c>
      <c r="N37" s="268"/>
      <c r="O37" s="268"/>
      <c r="P37" s="268"/>
      <c r="Q37" s="268"/>
      <c r="R37" s="268"/>
      <c r="S37" s="268"/>
      <c r="T37" s="268"/>
    </row>
    <row r="38" spans="1:20" s="268" customFormat="1" ht="13.5" thickBot="1" x14ac:dyDescent="0.25">
      <c r="A38" s="286"/>
      <c r="B38" s="287"/>
      <c r="C38" s="287"/>
      <c r="D38" s="287"/>
      <c r="E38" s="287"/>
      <c r="F38" s="287"/>
      <c r="G38" s="287"/>
      <c r="I38" s="288"/>
      <c r="M38" s="288"/>
    </row>
    <row r="39" spans="1:20" s="268" customFormat="1" ht="13.5" thickBot="1" x14ac:dyDescent="0.25">
      <c r="A39" s="289" t="s">
        <v>205</v>
      </c>
      <c r="B39" s="290"/>
      <c r="C39" s="290"/>
      <c r="D39" s="290"/>
      <c r="E39" s="290"/>
      <c r="F39" s="291"/>
      <c r="G39" s="291"/>
      <c r="I39" s="288"/>
      <c r="M39" s="288"/>
    </row>
    <row r="40" spans="1:20" s="268" customFormat="1" x14ac:dyDescent="0.2">
      <c r="A40" s="292" t="s">
        <v>199</v>
      </c>
      <c r="B40" s="259">
        <v>4957</v>
      </c>
      <c r="C40" s="260">
        <v>420</v>
      </c>
      <c r="D40" s="261">
        <v>641</v>
      </c>
      <c r="E40" s="261">
        <v>1435</v>
      </c>
      <c r="F40" s="293">
        <v>961</v>
      </c>
      <c r="G40" s="403">
        <v>75</v>
      </c>
      <c r="H40" s="294">
        <f t="shared" ref="H40:H46" si="16">SUM(D40:F40)-G40</f>
        <v>2962</v>
      </c>
      <c r="I40" s="263">
        <f t="shared" ref="I40:I46" si="17">H40/H$48</f>
        <v>1.9138075854493765E-2</v>
      </c>
      <c r="J40" s="273">
        <f t="shared" ref="J40:J46" si="18">H40*$M$2</f>
        <v>296.2</v>
      </c>
      <c r="K40" s="280">
        <f t="shared" ref="K40:K46" si="19">C40*$L$3</f>
        <v>315</v>
      </c>
      <c r="L40" s="275">
        <f t="shared" ref="L40:L46" si="20">(B40-C40)+J40+K40</f>
        <v>5148.2</v>
      </c>
      <c r="M40" s="267">
        <f t="shared" ref="M40:M48" si="21">(L40+-B40)/B40</f>
        <v>3.8571716764171843E-2</v>
      </c>
    </row>
    <row r="41" spans="1:20" s="268" customFormat="1" x14ac:dyDescent="0.2">
      <c r="A41" s="269" t="s">
        <v>138</v>
      </c>
      <c r="B41" s="259">
        <v>8186</v>
      </c>
      <c r="C41" s="260">
        <v>51</v>
      </c>
      <c r="D41" s="261">
        <v>2351</v>
      </c>
      <c r="E41" s="261">
        <v>3741</v>
      </c>
      <c r="F41" s="270">
        <v>4719</v>
      </c>
      <c r="G41" s="404">
        <v>28</v>
      </c>
      <c r="H41" s="272">
        <f t="shared" si="16"/>
        <v>10783</v>
      </c>
      <c r="I41" s="267">
        <f t="shared" si="17"/>
        <v>6.9671124895005487E-2</v>
      </c>
      <c r="J41" s="273">
        <f t="shared" si="18"/>
        <v>1078.3</v>
      </c>
      <c r="K41" s="280">
        <f t="shared" si="19"/>
        <v>38.25</v>
      </c>
      <c r="L41" s="275">
        <f t="shared" si="20"/>
        <v>9251.5499999999993</v>
      </c>
      <c r="M41" s="267">
        <f t="shared" si="21"/>
        <v>0.13016735890544823</v>
      </c>
    </row>
    <row r="42" spans="1:20" s="268" customFormat="1" x14ac:dyDescent="0.2">
      <c r="A42" s="269" t="s">
        <v>200</v>
      </c>
      <c r="B42" s="259">
        <v>18389</v>
      </c>
      <c r="C42" s="260">
        <v>2299</v>
      </c>
      <c r="D42" s="261">
        <v>2147</v>
      </c>
      <c r="E42" s="261">
        <v>3368</v>
      </c>
      <c r="F42" s="270">
        <v>3498</v>
      </c>
      <c r="G42" s="404">
        <v>641</v>
      </c>
      <c r="H42" s="272">
        <f t="shared" si="16"/>
        <v>8372</v>
      </c>
      <c r="I42" s="267">
        <f t="shared" si="17"/>
        <v>5.4093170511080958E-2</v>
      </c>
      <c r="J42" s="273">
        <f t="shared" si="18"/>
        <v>837.2</v>
      </c>
      <c r="K42" s="274">
        <f t="shared" si="19"/>
        <v>1724.25</v>
      </c>
      <c r="L42" s="275">
        <f t="shared" si="20"/>
        <v>18651.45</v>
      </c>
      <c r="M42" s="267">
        <f t="shared" si="21"/>
        <v>1.4272119201696706E-2</v>
      </c>
    </row>
    <row r="43" spans="1:20" s="268" customFormat="1" x14ac:dyDescent="0.2">
      <c r="A43" s="269" t="s">
        <v>201</v>
      </c>
      <c r="B43" s="259">
        <v>5828</v>
      </c>
      <c r="C43" s="260">
        <v>21</v>
      </c>
      <c r="D43" s="261">
        <v>721</v>
      </c>
      <c r="E43" s="261">
        <v>1193</v>
      </c>
      <c r="F43" s="270">
        <v>971</v>
      </c>
      <c r="G43" s="404">
        <v>4</v>
      </c>
      <c r="H43" s="272">
        <f t="shared" si="16"/>
        <v>2881</v>
      </c>
      <c r="I43" s="267">
        <f t="shared" si="17"/>
        <v>1.8614718614718615E-2</v>
      </c>
      <c r="J43" s="273">
        <f t="shared" si="18"/>
        <v>288.10000000000002</v>
      </c>
      <c r="K43" s="274">
        <f t="shared" si="19"/>
        <v>15.75</v>
      </c>
      <c r="L43" s="275">
        <f t="shared" si="20"/>
        <v>6110.85</v>
      </c>
      <c r="M43" s="267">
        <f t="shared" si="21"/>
        <v>4.8532944406314407E-2</v>
      </c>
    </row>
    <row r="44" spans="1:20" s="268" customFormat="1" x14ac:dyDescent="0.2">
      <c r="A44" s="269" t="s">
        <v>202</v>
      </c>
      <c r="B44" s="259">
        <v>12621</v>
      </c>
      <c r="C44" s="260">
        <v>3118</v>
      </c>
      <c r="D44" s="261">
        <v>1729</v>
      </c>
      <c r="E44" s="261">
        <v>2309</v>
      </c>
      <c r="F44" s="270">
        <v>2509</v>
      </c>
      <c r="G44" s="404">
        <v>556</v>
      </c>
      <c r="H44" s="272">
        <f t="shared" si="16"/>
        <v>5991</v>
      </c>
      <c r="I44" s="267">
        <f t="shared" si="17"/>
        <v>3.870905214188796E-2</v>
      </c>
      <c r="J44" s="273">
        <f t="shared" si="18"/>
        <v>599.1</v>
      </c>
      <c r="K44" s="274">
        <f t="shared" si="19"/>
        <v>2338.5</v>
      </c>
      <c r="L44" s="275">
        <f t="shared" si="20"/>
        <v>12440.6</v>
      </c>
      <c r="M44" s="267">
        <f t="shared" si="21"/>
        <v>-1.4293637588146712E-2</v>
      </c>
    </row>
    <row r="45" spans="1:20" s="268" customFormat="1" x14ac:dyDescent="0.2">
      <c r="A45" s="269" t="s">
        <v>203</v>
      </c>
      <c r="B45" s="259">
        <v>8943</v>
      </c>
      <c r="C45" s="260">
        <v>5748</v>
      </c>
      <c r="D45" s="261">
        <v>945</v>
      </c>
      <c r="E45" s="261">
        <v>1050</v>
      </c>
      <c r="F45" s="270">
        <v>1289</v>
      </c>
      <c r="G45" s="404">
        <v>1023</v>
      </c>
      <c r="H45" s="272">
        <f t="shared" si="16"/>
        <v>2261</v>
      </c>
      <c r="I45" s="267">
        <f t="shared" si="17"/>
        <v>1.4608774310266848E-2</v>
      </c>
      <c r="J45" s="273">
        <f t="shared" si="18"/>
        <v>226.10000000000002</v>
      </c>
      <c r="K45" s="274">
        <f t="shared" si="19"/>
        <v>4311</v>
      </c>
      <c r="L45" s="275">
        <f t="shared" si="20"/>
        <v>7732.1</v>
      </c>
      <c r="M45" s="267">
        <f t="shared" si="21"/>
        <v>-0.13540199038354017</v>
      </c>
    </row>
    <row r="46" spans="1:20" s="268" customFormat="1" ht="13.5" thickBot="1" x14ac:dyDescent="0.25">
      <c r="A46" s="278" t="s">
        <v>204</v>
      </c>
      <c r="B46" s="259">
        <v>6901</v>
      </c>
      <c r="C46" s="260">
        <v>0</v>
      </c>
      <c r="D46" s="261">
        <v>738</v>
      </c>
      <c r="E46" s="261">
        <v>1503</v>
      </c>
      <c r="F46" s="270">
        <v>1078</v>
      </c>
      <c r="G46" s="404">
        <v>0</v>
      </c>
      <c r="H46" s="272">
        <f t="shared" si="16"/>
        <v>3319</v>
      </c>
      <c r="I46" s="295">
        <f t="shared" si="17"/>
        <v>2.1444724429799056E-2</v>
      </c>
      <c r="J46" s="273">
        <f t="shared" si="18"/>
        <v>331.90000000000003</v>
      </c>
      <c r="K46" s="280">
        <f t="shared" si="19"/>
        <v>0</v>
      </c>
      <c r="L46" s="275">
        <f t="shared" si="20"/>
        <v>7232.9</v>
      </c>
      <c r="M46" s="267">
        <f t="shared" si="21"/>
        <v>4.8094479061005599E-2</v>
      </c>
    </row>
    <row r="47" spans="1:20" s="286" customFormat="1" ht="13.5" thickBot="1" x14ac:dyDescent="0.25">
      <c r="A47" s="281" t="s">
        <v>241</v>
      </c>
      <c r="B47" s="282">
        <f t="shared" ref="B47:K47" si="22">SUM(B40:B46)</f>
        <v>65825</v>
      </c>
      <c r="C47" s="283">
        <f t="shared" si="22"/>
        <v>11657</v>
      </c>
      <c r="D47" s="284">
        <f t="shared" si="22"/>
        <v>9272</v>
      </c>
      <c r="E47" s="284">
        <f t="shared" si="22"/>
        <v>14599</v>
      </c>
      <c r="F47" s="284">
        <f t="shared" si="22"/>
        <v>15025</v>
      </c>
      <c r="G47" s="283">
        <f t="shared" si="22"/>
        <v>2327</v>
      </c>
      <c r="H47" s="284">
        <f t="shared" si="22"/>
        <v>36569</v>
      </c>
      <c r="I47" s="285">
        <f t="shared" si="22"/>
        <v>0.23627964075725269</v>
      </c>
      <c r="J47" s="282">
        <f t="shared" si="22"/>
        <v>3656.8999999999996</v>
      </c>
      <c r="K47" s="283">
        <f t="shared" si="22"/>
        <v>8742.75</v>
      </c>
      <c r="L47" s="296">
        <f>SUM(L40:L46)</f>
        <v>66567.649999999994</v>
      </c>
      <c r="M47" s="267">
        <f t="shared" si="21"/>
        <v>1.128218761868582E-2</v>
      </c>
    </row>
    <row r="48" spans="1:20" s="286" customFormat="1" ht="13.5" thickBot="1" x14ac:dyDescent="0.25">
      <c r="A48" s="297" t="s">
        <v>242</v>
      </c>
      <c r="B48" s="298">
        <f t="shared" ref="B48:L48" si="23">B37+B47</f>
        <v>212333</v>
      </c>
      <c r="C48" s="299">
        <f t="shared" si="23"/>
        <v>34014</v>
      </c>
      <c r="D48" s="300">
        <f t="shared" si="23"/>
        <v>39846</v>
      </c>
      <c r="E48" s="300">
        <f t="shared" si="23"/>
        <v>56389</v>
      </c>
      <c r="F48" s="300">
        <f t="shared" si="23"/>
        <v>67339</v>
      </c>
      <c r="G48" s="299">
        <f>G37+G47</f>
        <v>8804</v>
      </c>
      <c r="H48" s="300">
        <f t="shared" si="23"/>
        <v>154770</v>
      </c>
      <c r="I48" s="301">
        <f t="shared" si="23"/>
        <v>0.98499063125928799</v>
      </c>
      <c r="J48" s="282">
        <f t="shared" si="23"/>
        <v>15477</v>
      </c>
      <c r="K48" s="283">
        <f t="shared" si="23"/>
        <v>25510.5</v>
      </c>
      <c r="L48" s="282">
        <f t="shared" si="23"/>
        <v>219306.5</v>
      </c>
      <c r="M48" s="267">
        <f t="shared" si="21"/>
        <v>3.2842280757112652E-2</v>
      </c>
    </row>
    <row r="49" spans="1:12" ht="13.5" hidden="1" thickBot="1" x14ac:dyDescent="0.25">
      <c r="A49" s="302" t="s">
        <v>243</v>
      </c>
      <c r="B49" s="303"/>
      <c r="C49" s="304"/>
      <c r="D49" s="305"/>
      <c r="E49" s="305"/>
      <c r="F49" s="305"/>
      <c r="G49" s="305"/>
      <c r="H49" s="305"/>
      <c r="I49" s="305"/>
      <c r="J49" s="306"/>
      <c r="K49" s="307"/>
    </row>
    <row r="51" spans="1:12" x14ac:dyDescent="0.2">
      <c r="A51" s="15" t="s">
        <v>288</v>
      </c>
    </row>
    <row r="52" spans="1:12" x14ac:dyDescent="0.2">
      <c r="A52" s="15"/>
      <c r="L52" s="308"/>
    </row>
  </sheetData>
  <mergeCells count="2">
    <mergeCell ref="A1:I1"/>
    <mergeCell ref="A3:I3"/>
  </mergeCells>
  <pageMargins left="0.7" right="0.7" top="0.75" bottom="0.75" header="0.3" footer="0.3"/>
  <pageSetup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9"/>
  <sheetViews>
    <sheetView zoomScale="80" workbookViewId="0">
      <selection activeCell="C7" sqref="C7"/>
    </sheetView>
  </sheetViews>
  <sheetFormatPr defaultColWidth="9.140625" defaultRowHeight="15" customHeight="1" x14ac:dyDescent="0.2"/>
  <cols>
    <col min="1" max="1" width="7.28515625" customWidth="1"/>
    <col min="2" max="2" width="30.28515625" customWidth="1"/>
    <col min="3" max="3" width="10.85546875" customWidth="1"/>
    <col min="4" max="4" width="12.85546875" customWidth="1"/>
    <col min="5" max="5" width="10.7109375" customWidth="1"/>
    <col min="6" max="6" width="12.85546875" customWidth="1"/>
    <col min="7" max="7" width="14.140625" customWidth="1"/>
    <col min="8" max="8" width="14.7109375" style="85" customWidth="1"/>
    <col min="10" max="10" width="9.85546875" customWidth="1"/>
    <col min="11" max="12" width="9.140625" customWidth="1"/>
  </cols>
  <sheetData>
    <row r="1" spans="1:10" ht="15" customHeight="1" x14ac:dyDescent="0.25">
      <c r="A1" s="33" t="s">
        <v>245</v>
      </c>
      <c r="G1" s="33"/>
      <c r="H1" s="346" t="s">
        <v>268</v>
      </c>
    </row>
    <row r="2" spans="1:10" ht="15" customHeight="1" x14ac:dyDescent="0.2">
      <c r="A2" s="4" t="s">
        <v>103</v>
      </c>
      <c r="G2" s="4"/>
      <c r="I2" s="4"/>
    </row>
    <row r="3" spans="1:10" ht="15" customHeight="1" x14ac:dyDescent="0.2">
      <c r="A3" s="4" t="s">
        <v>324</v>
      </c>
      <c r="G3" s="86"/>
    </row>
    <row r="4" spans="1:10" ht="12.75" x14ac:dyDescent="0.2">
      <c r="D4" s="19"/>
      <c r="E4" s="19"/>
      <c r="F4" s="19"/>
      <c r="G4" s="87"/>
      <c r="H4" s="88"/>
    </row>
    <row r="5" spans="1:10" ht="34.5" customHeight="1" x14ac:dyDescent="0.2">
      <c r="A5" s="89"/>
      <c r="B5" s="90"/>
      <c r="C5" s="151"/>
      <c r="D5" s="436" t="s">
        <v>104</v>
      </c>
      <c r="E5" s="436" t="s">
        <v>105</v>
      </c>
      <c r="F5" s="433" t="s">
        <v>106</v>
      </c>
      <c r="G5" s="436" t="s">
        <v>117</v>
      </c>
      <c r="H5" s="436" t="s">
        <v>66</v>
      </c>
    </row>
    <row r="6" spans="1:10" ht="15.75" customHeight="1" x14ac:dyDescent="0.2">
      <c r="A6" s="91"/>
      <c r="B6" s="91"/>
      <c r="C6" s="152" t="s">
        <v>325</v>
      </c>
      <c r="D6" s="436"/>
      <c r="E6" s="436"/>
      <c r="F6" s="434"/>
      <c r="G6" s="437"/>
      <c r="H6" s="438"/>
    </row>
    <row r="7" spans="1:10" ht="15.75" customHeight="1" x14ac:dyDescent="0.2">
      <c r="A7" s="92" t="s">
        <v>0</v>
      </c>
      <c r="B7" s="92" t="s">
        <v>82</v>
      </c>
      <c r="C7" s="92" t="s">
        <v>107</v>
      </c>
      <c r="D7" s="77">
        <v>5</v>
      </c>
      <c r="E7" s="80">
        <v>50000</v>
      </c>
      <c r="F7" s="435"/>
      <c r="G7" s="437"/>
      <c r="H7" s="439"/>
    </row>
    <row r="8" spans="1:10" ht="15" customHeight="1" x14ac:dyDescent="0.2">
      <c r="B8" s="19"/>
      <c r="C8" s="19"/>
      <c r="D8" s="78"/>
      <c r="E8" s="81"/>
      <c r="F8" s="93"/>
      <c r="G8" s="94"/>
    </row>
    <row r="9" spans="1:10" ht="15" customHeight="1" x14ac:dyDescent="0.2">
      <c r="A9" s="10" t="s">
        <v>2</v>
      </c>
      <c r="B9" s="97" t="s">
        <v>126</v>
      </c>
      <c r="C9" s="73">
        <v>491661</v>
      </c>
      <c r="D9" s="76">
        <f t="shared" ref="D9:D38" si="0">C9*$D$7</f>
        <v>2458305</v>
      </c>
      <c r="E9" s="76"/>
      <c r="F9" s="76">
        <f>D9+E9</f>
        <v>2458305</v>
      </c>
      <c r="G9" s="95">
        <f>'Revenue Offset'!G8</f>
        <v>0.44033077247037733</v>
      </c>
      <c r="H9" s="96">
        <f t="shared" ref="H9:H38" si="1">F9*(1-G9)</f>
        <v>1375837.6603822091</v>
      </c>
      <c r="J9" s="157"/>
    </row>
    <row r="10" spans="1:10" ht="15" customHeight="1" x14ac:dyDescent="0.2">
      <c r="A10" s="10" t="s">
        <v>4</v>
      </c>
      <c r="B10" s="97" t="s">
        <v>122</v>
      </c>
      <c r="C10" s="73">
        <f>321851+526244</f>
        <v>848095</v>
      </c>
      <c r="D10" s="76">
        <f t="shared" si="0"/>
        <v>4240475</v>
      </c>
      <c r="E10" s="76">
        <v>100000</v>
      </c>
      <c r="F10" s="76">
        <f t="shared" ref="F10:F38" si="2">D10+E10</f>
        <v>4340475</v>
      </c>
      <c r="G10" s="95">
        <f>'Revenue Offset'!G9</f>
        <v>0.46741428016337599</v>
      </c>
      <c r="H10" s="96">
        <f t="shared" si="1"/>
        <v>2311675.0023078704</v>
      </c>
      <c r="J10" s="387"/>
    </row>
    <row r="11" spans="1:10" ht="15" customHeight="1" x14ac:dyDescent="0.2">
      <c r="A11" s="10" t="s">
        <v>5</v>
      </c>
      <c r="B11" s="97" t="s">
        <v>112</v>
      </c>
      <c r="C11" s="73">
        <v>973573</v>
      </c>
      <c r="D11" s="76">
        <f t="shared" si="0"/>
        <v>4867865</v>
      </c>
      <c r="E11" s="76">
        <v>50000</v>
      </c>
      <c r="F11" s="76">
        <f t="shared" si="2"/>
        <v>4917865</v>
      </c>
      <c r="G11" s="95">
        <f>'Revenue Offset'!G10</f>
        <v>0.51460019407463908</v>
      </c>
      <c r="H11" s="96">
        <f t="shared" si="1"/>
        <v>2387130.7165671252</v>
      </c>
      <c r="J11" s="157"/>
    </row>
    <row r="12" spans="1:10" ht="15" customHeight="1" x14ac:dyDescent="0.2">
      <c r="A12" s="10" t="s">
        <v>6</v>
      </c>
      <c r="B12" s="97" t="s">
        <v>7</v>
      </c>
      <c r="C12" s="73">
        <v>635215</v>
      </c>
      <c r="D12" s="76">
        <f t="shared" si="0"/>
        <v>3176075</v>
      </c>
      <c r="E12" s="76">
        <v>50000</v>
      </c>
      <c r="F12" s="76">
        <f t="shared" si="2"/>
        <v>3226075</v>
      </c>
      <c r="G12" s="95">
        <f>'Revenue Offset'!G11</f>
        <v>0.42113103549241043</v>
      </c>
      <c r="H12" s="96">
        <f t="shared" si="1"/>
        <v>1867474.6946738218</v>
      </c>
      <c r="J12" s="157"/>
    </row>
    <row r="13" spans="1:10" ht="17.25" customHeight="1" x14ac:dyDescent="0.2">
      <c r="A13" s="10" t="s">
        <v>8</v>
      </c>
      <c r="B13" s="97" t="s">
        <v>9</v>
      </c>
      <c r="C13" s="73">
        <v>738249</v>
      </c>
      <c r="D13" s="76">
        <f t="shared" si="0"/>
        <v>3691245</v>
      </c>
      <c r="E13" s="76"/>
      <c r="F13" s="76">
        <f t="shared" si="2"/>
        <v>3691245</v>
      </c>
      <c r="G13" s="95">
        <f>'Revenue Offset'!G12</f>
        <v>0.46286235981594193</v>
      </c>
      <c r="H13" s="96">
        <f t="shared" si="1"/>
        <v>1982706.6286412035</v>
      </c>
      <c r="J13" s="157"/>
    </row>
    <row r="14" spans="1:10" ht="15" customHeight="1" x14ac:dyDescent="0.2">
      <c r="A14" s="10" t="s">
        <v>10</v>
      </c>
      <c r="B14" s="97" t="s">
        <v>144</v>
      </c>
      <c r="C14" s="73">
        <f>539331+325845</f>
        <v>865176</v>
      </c>
      <c r="D14" s="76">
        <f t="shared" si="0"/>
        <v>4325880</v>
      </c>
      <c r="E14" s="76">
        <v>50000</v>
      </c>
      <c r="F14" s="76">
        <f t="shared" si="2"/>
        <v>4375880</v>
      </c>
      <c r="G14" s="95">
        <f>'Revenue Offset'!G13</f>
        <v>0.43292684964817507</v>
      </c>
      <c r="H14" s="96">
        <f t="shared" si="1"/>
        <v>2481444.0571615435</v>
      </c>
      <c r="J14" s="157"/>
    </row>
    <row r="15" spans="1:10" ht="15" customHeight="1" x14ac:dyDescent="0.2">
      <c r="A15" s="10" t="s">
        <v>12</v>
      </c>
      <c r="B15" s="97" t="s">
        <v>13</v>
      </c>
      <c r="C15" s="73">
        <v>161065</v>
      </c>
      <c r="D15" s="76">
        <f t="shared" si="0"/>
        <v>805325</v>
      </c>
      <c r="E15" s="76"/>
      <c r="F15" s="76">
        <f t="shared" si="2"/>
        <v>805325</v>
      </c>
      <c r="G15" s="95">
        <f>'Revenue Offset'!G14</f>
        <v>0.33715193015599199</v>
      </c>
      <c r="H15" s="96">
        <f t="shared" si="1"/>
        <v>533808.1218471257</v>
      </c>
      <c r="J15" s="157"/>
    </row>
    <row r="16" spans="1:10" ht="15" customHeight="1" x14ac:dyDescent="0.2">
      <c r="A16" s="10" t="s">
        <v>14</v>
      </c>
      <c r="B16" s="97" t="s">
        <v>137</v>
      </c>
      <c r="C16" s="73">
        <v>909298</v>
      </c>
      <c r="D16" s="76">
        <f t="shared" si="0"/>
        <v>4546490</v>
      </c>
      <c r="E16" s="76">
        <v>50000</v>
      </c>
      <c r="F16" s="76">
        <f t="shared" si="2"/>
        <v>4596490</v>
      </c>
      <c r="G16" s="95">
        <f>'Revenue Offset'!G15</f>
        <v>0.36904541466123802</v>
      </c>
      <c r="H16" s="96">
        <f t="shared" si="1"/>
        <v>2900176.4419637658</v>
      </c>
      <c r="J16" s="157"/>
    </row>
    <row r="17" spans="1:11" ht="15" customHeight="1" x14ac:dyDescent="0.2">
      <c r="A17" s="10" t="s">
        <v>16</v>
      </c>
      <c r="B17" s="97" t="s">
        <v>17</v>
      </c>
      <c r="C17" s="73">
        <v>399066</v>
      </c>
      <c r="D17" s="76">
        <f t="shared" si="0"/>
        <v>1995330</v>
      </c>
      <c r="E17" s="76"/>
      <c r="F17" s="76">
        <f t="shared" si="2"/>
        <v>1995330</v>
      </c>
      <c r="G17" s="95">
        <f>'Revenue Offset'!G16</f>
        <v>0.39146000294713518</v>
      </c>
      <c r="H17" s="96">
        <f t="shared" si="1"/>
        <v>1214238.112319493</v>
      </c>
      <c r="J17" s="157"/>
    </row>
    <row r="18" spans="1:11" ht="15" customHeight="1" x14ac:dyDescent="0.2">
      <c r="A18" s="10" t="s">
        <v>18</v>
      </c>
      <c r="B18" s="97" t="s">
        <v>138</v>
      </c>
      <c r="C18" s="73">
        <v>387213</v>
      </c>
      <c r="D18" s="76">
        <f t="shared" si="0"/>
        <v>1936065</v>
      </c>
      <c r="E18" s="76"/>
      <c r="F18" s="76">
        <f t="shared" si="2"/>
        <v>1936065</v>
      </c>
      <c r="G18" s="95">
        <f>'Revenue Offset'!G17</f>
        <v>0.52255445819623836</v>
      </c>
      <c r="H18" s="96">
        <f t="shared" si="1"/>
        <v>924365.60289229976</v>
      </c>
      <c r="J18" s="157"/>
    </row>
    <row r="19" spans="1:11" ht="15" customHeight="1" x14ac:dyDescent="0.2">
      <c r="A19" s="10" t="s">
        <v>19</v>
      </c>
      <c r="B19" s="97" t="s">
        <v>127</v>
      </c>
      <c r="C19" s="73">
        <v>987224</v>
      </c>
      <c r="D19" s="76">
        <f t="shared" si="0"/>
        <v>4936120</v>
      </c>
      <c r="E19" s="76"/>
      <c r="F19" s="76">
        <f t="shared" si="2"/>
        <v>4936120</v>
      </c>
      <c r="G19" s="95">
        <f>'Revenue Offset'!G18</f>
        <v>0.44299468497228722</v>
      </c>
      <c r="H19" s="96">
        <f t="shared" si="1"/>
        <v>2749445.0756145935</v>
      </c>
      <c r="J19" s="157"/>
    </row>
    <row r="20" spans="1:11" ht="15" customHeight="1" x14ac:dyDescent="0.2">
      <c r="A20" s="34" t="s">
        <v>116</v>
      </c>
      <c r="B20" s="97" t="s">
        <v>293</v>
      </c>
      <c r="C20" s="154">
        <v>935019</v>
      </c>
      <c r="D20" s="76">
        <f>C20*$D$7</f>
        <v>4675095</v>
      </c>
      <c r="E20" s="76">
        <v>250000</v>
      </c>
      <c r="F20" s="76">
        <f>D20+E20</f>
        <v>4925095</v>
      </c>
      <c r="G20" s="95">
        <f>'Revenue Offset'!G19</f>
        <v>0.37885410660078628</v>
      </c>
      <c r="H20" s="96">
        <f>F20*(1-G20)</f>
        <v>3059202.5338510009</v>
      </c>
      <c r="J20" s="157"/>
    </row>
    <row r="21" spans="1:11" ht="15" customHeight="1" x14ac:dyDescent="0.2">
      <c r="A21" s="10" t="s">
        <v>21</v>
      </c>
      <c r="B21" s="97" t="s">
        <v>174</v>
      </c>
      <c r="C21" s="73">
        <v>284059</v>
      </c>
      <c r="D21" s="76">
        <f t="shared" si="0"/>
        <v>1420295</v>
      </c>
      <c r="E21" s="76">
        <v>50000</v>
      </c>
      <c r="F21" s="76">
        <f t="shared" si="2"/>
        <v>1470295</v>
      </c>
      <c r="G21" s="95">
        <f>'Revenue Offset'!G20</f>
        <v>0.3926261223615316</v>
      </c>
      <c r="H21" s="96">
        <f t="shared" si="1"/>
        <v>893018.7754224519</v>
      </c>
      <c r="J21" s="157"/>
    </row>
    <row r="22" spans="1:11" ht="15" customHeight="1" x14ac:dyDescent="0.2">
      <c r="A22" s="34" t="s">
        <v>108</v>
      </c>
      <c r="B22" s="97" t="s">
        <v>139</v>
      </c>
      <c r="C22" s="73">
        <v>731393</v>
      </c>
      <c r="D22" s="76">
        <f t="shared" si="0"/>
        <v>3656965</v>
      </c>
      <c r="E22" s="76">
        <v>150000</v>
      </c>
      <c r="F22" s="76">
        <f t="shared" si="2"/>
        <v>3806965</v>
      </c>
      <c r="G22" s="95">
        <f>'Revenue Offset'!G21</f>
        <v>0.402691052440108</v>
      </c>
      <c r="H22" s="96">
        <f t="shared" si="1"/>
        <v>2273934.2575473445</v>
      </c>
      <c r="J22" s="157"/>
    </row>
    <row r="23" spans="1:11" ht="15" customHeight="1" x14ac:dyDescent="0.2">
      <c r="A23" s="10" t="s">
        <v>26</v>
      </c>
      <c r="B23" s="97" t="s">
        <v>62</v>
      </c>
      <c r="C23" s="73">
        <v>1139187</v>
      </c>
      <c r="D23" s="76">
        <f t="shared" si="0"/>
        <v>5695935</v>
      </c>
      <c r="E23" s="76"/>
      <c r="F23" s="76">
        <f t="shared" si="2"/>
        <v>5695935</v>
      </c>
      <c r="G23" s="95">
        <f>'Revenue Offset'!G22</f>
        <v>0.5390574292998197</v>
      </c>
      <c r="H23" s="96">
        <f t="shared" si="1"/>
        <v>2625498.9214411313</v>
      </c>
      <c r="J23" s="157"/>
    </row>
    <row r="24" spans="1:11" ht="15" customHeight="1" x14ac:dyDescent="0.2">
      <c r="A24" s="10" t="s">
        <v>22</v>
      </c>
      <c r="B24" s="97" t="s">
        <v>23</v>
      </c>
      <c r="C24" s="153">
        <v>1822825</v>
      </c>
      <c r="D24" s="76">
        <f t="shared" si="0"/>
        <v>9114125</v>
      </c>
      <c r="E24" s="76"/>
      <c r="F24" s="76">
        <f t="shared" si="2"/>
        <v>9114125</v>
      </c>
      <c r="G24" s="95">
        <f>'Revenue Offset'!G23</f>
        <v>0.63724695728014435</v>
      </c>
      <c r="H24" s="96">
        <f t="shared" si="1"/>
        <v>3306176.5754791042</v>
      </c>
      <c r="J24" s="157"/>
    </row>
    <row r="25" spans="1:11" ht="15" customHeight="1" x14ac:dyDescent="0.2">
      <c r="A25" s="10" t="s">
        <v>24</v>
      </c>
      <c r="B25" s="97" t="s">
        <v>135</v>
      </c>
      <c r="C25" s="73">
        <v>553905</v>
      </c>
      <c r="D25" s="76">
        <f t="shared" si="0"/>
        <v>2769525</v>
      </c>
      <c r="E25" s="76">
        <v>200000</v>
      </c>
      <c r="F25" s="76">
        <f t="shared" si="2"/>
        <v>2969525</v>
      </c>
      <c r="G25" s="95">
        <f>'Revenue Offset'!G24</f>
        <v>0.41106785018464187</v>
      </c>
      <c r="H25" s="96">
        <f t="shared" si="1"/>
        <v>1748848.7421804513</v>
      </c>
      <c r="J25" s="48"/>
    </row>
    <row r="26" spans="1:11" ht="15" customHeight="1" x14ac:dyDescent="0.2">
      <c r="A26" s="10" t="s">
        <v>27</v>
      </c>
      <c r="B26" s="97" t="s">
        <v>130</v>
      </c>
      <c r="C26" s="73">
        <v>583759</v>
      </c>
      <c r="D26" s="76">
        <f t="shared" si="0"/>
        <v>2918795</v>
      </c>
      <c r="E26" s="76"/>
      <c r="F26" s="76">
        <f t="shared" si="2"/>
        <v>2918795</v>
      </c>
      <c r="G26" s="95">
        <f>'Revenue Offset'!G25</f>
        <v>0.50654503600839607</v>
      </c>
      <c r="H26" s="96">
        <f t="shared" si="1"/>
        <v>1440293.8816238737</v>
      </c>
      <c r="J26" s="157"/>
    </row>
    <row r="27" spans="1:11" ht="15" customHeight="1" x14ac:dyDescent="0.2">
      <c r="A27" s="10" t="s">
        <v>29</v>
      </c>
      <c r="B27" s="97" t="s">
        <v>131</v>
      </c>
      <c r="C27" s="73">
        <v>490481</v>
      </c>
      <c r="D27" s="76">
        <f t="shared" si="0"/>
        <v>2452405</v>
      </c>
      <c r="E27" s="76"/>
      <c r="F27" s="76">
        <f t="shared" si="2"/>
        <v>2452405</v>
      </c>
      <c r="G27" s="95">
        <f>'Revenue Offset'!G26</f>
        <v>0.42197326097175397</v>
      </c>
      <c r="H27" s="96">
        <f t="shared" si="1"/>
        <v>1417555.664926566</v>
      </c>
      <c r="J27" s="157"/>
    </row>
    <row r="28" spans="1:11" ht="15" customHeight="1" x14ac:dyDescent="0.2">
      <c r="A28" s="10" t="s">
        <v>31</v>
      </c>
      <c r="B28" s="97" t="s">
        <v>132</v>
      </c>
      <c r="C28" s="73">
        <f>171244+320041</f>
        <v>491285</v>
      </c>
      <c r="D28" s="76">
        <f t="shared" si="0"/>
        <v>2456425</v>
      </c>
      <c r="E28" s="76">
        <v>50000</v>
      </c>
      <c r="F28" s="76">
        <f t="shared" si="2"/>
        <v>2506425</v>
      </c>
      <c r="G28" s="95">
        <f>'Revenue Offset'!G27</f>
        <v>0.36861818717307604</v>
      </c>
      <c r="H28" s="96">
        <f t="shared" si="1"/>
        <v>1582511.1602147229</v>
      </c>
      <c r="J28" s="157"/>
    </row>
    <row r="29" spans="1:11" ht="15" customHeight="1" x14ac:dyDescent="0.2">
      <c r="A29" s="10" t="s">
        <v>33</v>
      </c>
      <c r="B29" s="97" t="s">
        <v>128</v>
      </c>
      <c r="C29" s="73">
        <v>112270</v>
      </c>
      <c r="D29" s="76">
        <f t="shared" si="0"/>
        <v>561350</v>
      </c>
      <c r="E29" s="76"/>
      <c r="F29" s="76">
        <f t="shared" si="2"/>
        <v>561350</v>
      </c>
      <c r="G29" s="95">
        <f>'Revenue Offset'!G28</f>
        <v>0.33523632816732252</v>
      </c>
      <c r="H29" s="96">
        <f t="shared" si="1"/>
        <v>373165.08718327351</v>
      </c>
      <c r="J29" s="157"/>
      <c r="K29" s="11"/>
    </row>
    <row r="30" spans="1:11" ht="15" customHeight="1" x14ac:dyDescent="0.2">
      <c r="A30" s="10" t="s">
        <v>35</v>
      </c>
      <c r="B30" s="97" t="s">
        <v>36</v>
      </c>
      <c r="C30" s="73">
        <f>195906+476819</f>
        <v>672725</v>
      </c>
      <c r="D30" s="76">
        <f t="shared" si="0"/>
        <v>3363625</v>
      </c>
      <c r="E30" s="76">
        <v>50000</v>
      </c>
      <c r="F30" s="76">
        <f t="shared" si="2"/>
        <v>3413625</v>
      </c>
      <c r="G30" s="95">
        <f>'Revenue Offset'!G29</f>
        <v>0.4213427221697979</v>
      </c>
      <c r="H30" s="96">
        <f t="shared" si="1"/>
        <v>1975318.9500331238</v>
      </c>
      <c r="J30" s="157"/>
    </row>
    <row r="31" spans="1:11" ht="15" customHeight="1" x14ac:dyDescent="0.2">
      <c r="A31" s="10" t="s">
        <v>37</v>
      </c>
      <c r="B31" s="97" t="s">
        <v>129</v>
      </c>
      <c r="C31" s="73">
        <v>525972</v>
      </c>
      <c r="D31" s="76">
        <f t="shared" si="0"/>
        <v>2629860</v>
      </c>
      <c r="E31" s="76">
        <v>100000</v>
      </c>
      <c r="F31" s="76">
        <f t="shared" si="2"/>
        <v>2729860</v>
      </c>
      <c r="G31" s="95">
        <f>'Revenue Offset'!G30</f>
        <v>0.43769735215033734</v>
      </c>
      <c r="H31" s="96">
        <f t="shared" si="1"/>
        <v>1535007.50625888</v>
      </c>
      <c r="J31" s="48"/>
    </row>
    <row r="32" spans="1:11" ht="15" customHeight="1" x14ac:dyDescent="0.2">
      <c r="A32" s="10" t="s">
        <v>39</v>
      </c>
      <c r="B32" s="97" t="s">
        <v>133</v>
      </c>
      <c r="C32" s="73">
        <v>616125</v>
      </c>
      <c r="D32" s="76">
        <f t="shared" si="0"/>
        <v>3080625</v>
      </c>
      <c r="E32" s="76"/>
      <c r="F32" s="76">
        <f t="shared" si="2"/>
        <v>3080625</v>
      </c>
      <c r="G32" s="95">
        <f>'Revenue Offset'!G31</f>
        <v>0.47111906577098772</v>
      </c>
      <c r="H32" s="96">
        <f t="shared" si="1"/>
        <v>1629283.828009251</v>
      </c>
      <c r="J32" s="157"/>
    </row>
    <row r="33" spans="1:10" ht="15" customHeight="1" x14ac:dyDescent="0.2">
      <c r="A33" s="10" t="s">
        <v>46</v>
      </c>
      <c r="B33" s="97" t="s">
        <v>69</v>
      </c>
      <c r="C33" s="73">
        <v>557150</v>
      </c>
      <c r="D33" s="76">
        <f t="shared" si="0"/>
        <v>2785750</v>
      </c>
      <c r="E33" s="76"/>
      <c r="F33" s="76">
        <f t="shared" si="2"/>
        <v>2785750</v>
      </c>
      <c r="G33" s="95">
        <f>'Revenue Offset'!G32</f>
        <v>0.42873095002098827</v>
      </c>
      <c r="H33" s="96">
        <f t="shared" si="1"/>
        <v>1591412.755979032</v>
      </c>
      <c r="J33" s="157"/>
    </row>
    <row r="34" spans="1:10" ht="15" customHeight="1" x14ac:dyDescent="0.2">
      <c r="A34" s="10" t="s">
        <v>41</v>
      </c>
      <c r="B34" s="97" t="s">
        <v>115</v>
      </c>
      <c r="C34" s="73">
        <f>110367+302315</f>
        <v>412682</v>
      </c>
      <c r="D34" s="76">
        <f t="shared" si="0"/>
        <v>2063410</v>
      </c>
      <c r="E34" s="76">
        <v>50000</v>
      </c>
      <c r="F34" s="76">
        <f t="shared" si="2"/>
        <v>2113410</v>
      </c>
      <c r="G34" s="95">
        <f>'Revenue Offset'!G33</f>
        <v>0.39561511236123237</v>
      </c>
      <c r="H34" s="96">
        <f t="shared" si="1"/>
        <v>1277313.0653846478</v>
      </c>
      <c r="J34" s="157"/>
    </row>
    <row r="35" spans="1:10" ht="15" customHeight="1" x14ac:dyDescent="0.2">
      <c r="A35" s="10" t="s">
        <v>42</v>
      </c>
      <c r="B35" s="97" t="s">
        <v>68</v>
      </c>
      <c r="C35" s="73">
        <v>801231</v>
      </c>
      <c r="D35" s="76">
        <f t="shared" si="0"/>
        <v>4006155</v>
      </c>
      <c r="E35" s="76"/>
      <c r="F35" s="76">
        <f t="shared" si="2"/>
        <v>4006155</v>
      </c>
      <c r="G35" s="95">
        <f>'Revenue Offset'!G34</f>
        <v>0.49611823141236078</v>
      </c>
      <c r="H35" s="96">
        <f t="shared" si="1"/>
        <v>2018628.4666362137</v>
      </c>
      <c r="J35" s="157"/>
    </row>
    <row r="36" spans="1:10" ht="15" customHeight="1" x14ac:dyDescent="0.2">
      <c r="A36" s="10" t="s">
        <v>43</v>
      </c>
      <c r="B36" s="97" t="s">
        <v>44</v>
      </c>
      <c r="C36" s="73">
        <v>2088690</v>
      </c>
      <c r="D36" s="76">
        <f t="shared" si="0"/>
        <v>10443450</v>
      </c>
      <c r="E36" s="76"/>
      <c r="F36" s="76">
        <f t="shared" si="2"/>
        <v>10443450</v>
      </c>
      <c r="G36" s="95">
        <f>'Revenue Offset'!G35</f>
        <v>0.51181667722381252</v>
      </c>
      <c r="H36" s="96">
        <f t="shared" si="1"/>
        <v>5098318.1222469751</v>
      </c>
      <c r="J36" s="157"/>
    </row>
    <row r="37" spans="1:10" ht="15" customHeight="1" x14ac:dyDescent="0.2">
      <c r="A37" s="10" t="s">
        <v>45</v>
      </c>
      <c r="B37" s="97" t="s">
        <v>134</v>
      </c>
      <c r="C37" s="73">
        <v>506043</v>
      </c>
      <c r="D37" s="76">
        <f t="shared" si="0"/>
        <v>2530215</v>
      </c>
      <c r="E37" s="76"/>
      <c r="F37" s="76">
        <f t="shared" si="2"/>
        <v>2530215</v>
      </c>
      <c r="G37" s="95">
        <f>'Revenue Offset'!G36</f>
        <v>0.4587412308621322</v>
      </c>
      <c r="H37" s="96">
        <f t="shared" si="1"/>
        <v>1369501.0565541703</v>
      </c>
      <c r="J37" s="157"/>
    </row>
    <row r="38" spans="1:10" ht="15" customHeight="1" x14ac:dyDescent="0.2">
      <c r="A38" s="10" t="s">
        <v>47</v>
      </c>
      <c r="B38" s="97" t="s">
        <v>48</v>
      </c>
      <c r="C38" s="73">
        <v>1266691</v>
      </c>
      <c r="D38" s="76">
        <f t="shared" si="0"/>
        <v>6333455</v>
      </c>
      <c r="E38" s="76"/>
      <c r="F38" s="76">
        <f t="shared" si="2"/>
        <v>6333455</v>
      </c>
      <c r="G38" s="95">
        <f>'Revenue Offset'!G37</f>
        <v>0.53480357403864109</v>
      </c>
      <c r="H38" s="96">
        <f t="shared" si="1"/>
        <v>2946300.6299870983</v>
      </c>
      <c r="J38" s="157"/>
    </row>
    <row r="39" spans="1:10" ht="15" customHeight="1" x14ac:dyDescent="0.2">
      <c r="A39" s="98"/>
      <c r="B39" s="99"/>
      <c r="C39" s="155"/>
      <c r="D39" s="79"/>
      <c r="E39" s="75"/>
      <c r="F39" s="79"/>
      <c r="H39" s="100"/>
      <c r="I39" s="6"/>
    </row>
    <row r="40" spans="1:10" s="101" customFormat="1" ht="15" customHeight="1" x14ac:dyDescent="0.2">
      <c r="B40" s="101" t="s">
        <v>49</v>
      </c>
      <c r="C40" s="74">
        <f>SUM(C9:C38)</f>
        <v>21987327</v>
      </c>
      <c r="D40" s="74">
        <f>SUM(D9:D38)</f>
        <v>109936635</v>
      </c>
      <c r="E40" s="74">
        <f>SUM(E9:E38)</f>
        <v>1200000</v>
      </c>
      <c r="F40" s="74">
        <f>SUM(F9:F38)</f>
        <v>111136635</v>
      </c>
      <c r="G40" s="102">
        <f>'Revenue Offset'!G39</f>
        <v>0.48566632051512093</v>
      </c>
      <c r="H40" s="74">
        <f>SUM(H9:H38)</f>
        <v>58889592.09533035</v>
      </c>
    </row>
    <row r="42" spans="1:10" ht="12" customHeight="1" x14ac:dyDescent="0.2">
      <c r="B42" s="103"/>
      <c r="D42" s="16"/>
    </row>
    <row r="43" spans="1:10" ht="12" customHeight="1" x14ac:dyDescent="0.2">
      <c r="A43" s="15"/>
      <c r="D43" s="16"/>
    </row>
    <row r="44" spans="1:10" ht="15" customHeight="1" x14ac:dyDescent="0.2">
      <c r="A44" s="15" t="s">
        <v>288</v>
      </c>
    </row>
    <row r="45" spans="1:10" ht="15" customHeight="1" x14ac:dyDescent="0.2">
      <c r="A45" s="15" t="str">
        <f>'FY2015 Detail'!B40</f>
        <v>s:\finance\bargain\FY26 allocation\Summary of FY2026 Institutional Allocation Draft</v>
      </c>
    </row>
    <row r="46" spans="1:10" ht="15" customHeight="1" x14ac:dyDescent="0.2">
      <c r="A46" s="15"/>
      <c r="E46" s="85"/>
      <c r="H46"/>
    </row>
    <row r="47" spans="1:10" ht="15" customHeight="1" x14ac:dyDescent="0.2">
      <c r="C47" s="11"/>
      <c r="E47" s="85"/>
      <c r="H47"/>
    </row>
    <row r="48" spans="1:10" ht="15" customHeight="1" x14ac:dyDescent="0.2">
      <c r="E48" s="85"/>
      <c r="H48"/>
    </row>
    <row r="49" spans="5:8" ht="15" customHeight="1" x14ac:dyDescent="0.2">
      <c r="E49" s="85"/>
      <c r="H49"/>
    </row>
  </sheetData>
  <mergeCells count="5">
    <mergeCell ref="F5:F7"/>
    <mergeCell ref="G5:G7"/>
    <mergeCell ref="H5:H7"/>
    <mergeCell ref="E5:E6"/>
    <mergeCell ref="D5:D6"/>
  </mergeCells>
  <phoneticPr fontId="11" type="noConversion"/>
  <pageMargins left="0.42" right="0.19" top="0.37" bottom="0.15" header="0.36" footer="0.16"/>
  <pageSetup scale="7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I42"/>
  <sheetViews>
    <sheetView zoomScale="80" zoomScaleNormal="80" workbookViewId="0">
      <selection activeCell="E24" sqref="E24"/>
    </sheetView>
  </sheetViews>
  <sheetFormatPr defaultRowHeight="12.75" x14ac:dyDescent="0.2"/>
  <cols>
    <col min="1" max="1" width="6.85546875" customWidth="1"/>
    <col min="2" max="2" width="33.5703125" customWidth="1"/>
    <col min="3" max="3" width="16.7109375" customWidth="1"/>
    <col min="4" max="4" width="17.42578125" style="4" customWidth="1"/>
    <col min="5" max="5" width="13.140625" customWidth="1"/>
    <col min="10" max="12" width="0" hidden="1" customWidth="1"/>
  </cols>
  <sheetData>
    <row r="1" spans="1:7" ht="15" customHeight="1" x14ac:dyDescent="0.25">
      <c r="A1" s="33" t="s">
        <v>245</v>
      </c>
      <c r="E1" s="347" t="s">
        <v>269</v>
      </c>
    </row>
    <row r="2" spans="1:7" ht="15" customHeight="1" x14ac:dyDescent="0.2">
      <c r="A2" s="4" t="s">
        <v>175</v>
      </c>
    </row>
    <row r="3" spans="1:7" ht="15" customHeight="1" x14ac:dyDescent="0.2">
      <c r="A3" s="4" t="s">
        <v>321</v>
      </c>
    </row>
    <row r="4" spans="1:7" ht="15" customHeight="1" x14ac:dyDescent="0.2">
      <c r="C4" s="19" t="s">
        <v>78</v>
      </c>
      <c r="D4" s="19" t="s">
        <v>73</v>
      </c>
      <c r="E4" s="19" t="s">
        <v>74</v>
      </c>
    </row>
    <row r="5" spans="1:7" ht="61.5" customHeight="1" x14ac:dyDescent="0.2">
      <c r="A5" s="165" t="s">
        <v>0</v>
      </c>
      <c r="B5" s="166" t="s">
        <v>82</v>
      </c>
      <c r="C5" s="165" t="s">
        <v>176</v>
      </c>
      <c r="D5" s="84" t="s">
        <v>177</v>
      </c>
      <c r="E5" s="27" t="s">
        <v>286</v>
      </c>
    </row>
    <row r="6" spans="1:7" ht="15" customHeight="1" x14ac:dyDescent="0.2">
      <c r="B6" s="31"/>
      <c r="D6" s="5"/>
    </row>
    <row r="7" spans="1:7" ht="15" customHeight="1" x14ac:dyDescent="0.2">
      <c r="A7" s="168" t="s">
        <v>2</v>
      </c>
      <c r="B7" s="169" t="s">
        <v>126</v>
      </c>
      <c r="C7" s="170">
        <f>'3rd Term Expected'!J6</f>
        <v>230910.7085137532</v>
      </c>
      <c r="D7" s="391">
        <f>'Improvement Allocation'!H6</f>
        <v>36000</v>
      </c>
      <c r="E7" s="170">
        <f>C7+D7</f>
        <v>266910.7085137532</v>
      </c>
      <c r="G7" s="157"/>
    </row>
    <row r="8" spans="1:7" ht="15" customHeight="1" x14ac:dyDescent="0.2">
      <c r="A8" s="168" t="s">
        <v>4</v>
      </c>
      <c r="B8" s="169" t="s">
        <v>122</v>
      </c>
      <c r="C8" s="170">
        <f>'3rd Term Expected'!J7+'3rd Term Expected'!J8</f>
        <v>384051.92677016091</v>
      </c>
      <c r="D8" s="392">
        <f>'Improvement Allocation'!H7+'Improvement Allocation'!H8</f>
        <v>4000</v>
      </c>
      <c r="E8" s="170">
        <f t="shared" ref="E8:E36" si="0">C8+D8</f>
        <v>388051.92677016091</v>
      </c>
      <c r="G8" s="157"/>
    </row>
    <row r="9" spans="1:7" ht="15" customHeight="1" x14ac:dyDescent="0.2">
      <c r="A9" s="168" t="s">
        <v>5</v>
      </c>
      <c r="B9" s="169" t="s">
        <v>112</v>
      </c>
      <c r="C9" s="172">
        <f>'3rd Term Expected'!J24+'3rd Term Expected'!J33</f>
        <v>0</v>
      </c>
      <c r="D9" s="392">
        <f>'Improvement Allocation'!H24+'Improvement Allocation'!H33</f>
        <v>48000</v>
      </c>
      <c r="E9" s="170">
        <f t="shared" si="0"/>
        <v>48000</v>
      </c>
      <c r="G9" s="157"/>
    </row>
    <row r="10" spans="1:7" ht="15" customHeight="1" x14ac:dyDescent="0.2">
      <c r="A10" s="168" t="s">
        <v>6</v>
      </c>
      <c r="B10" s="169" t="s">
        <v>7</v>
      </c>
      <c r="C10" s="170">
        <f>'3rd Term Expected'!J9</f>
        <v>22665.029116643607</v>
      </c>
      <c r="D10" s="391">
        <f>'Improvement Allocation'!H9</f>
        <v>0</v>
      </c>
      <c r="E10" s="170">
        <f t="shared" si="0"/>
        <v>22665.029116643607</v>
      </c>
      <c r="G10" s="390"/>
    </row>
    <row r="11" spans="1:7" ht="15" customHeight="1" x14ac:dyDescent="0.2">
      <c r="A11" s="168" t="s">
        <v>8</v>
      </c>
      <c r="B11" s="169" t="s">
        <v>9</v>
      </c>
      <c r="C11" s="170">
        <f>'3rd Term Expected'!J10</f>
        <v>0</v>
      </c>
      <c r="D11" s="391">
        <f>'Improvement Allocation'!H10</f>
        <v>152000</v>
      </c>
      <c r="E11" s="170">
        <f t="shared" si="0"/>
        <v>152000</v>
      </c>
      <c r="G11" s="157"/>
    </row>
    <row r="12" spans="1:7" ht="15" customHeight="1" x14ac:dyDescent="0.2">
      <c r="A12" s="168" t="s">
        <v>10</v>
      </c>
      <c r="B12" s="3" t="s">
        <v>144</v>
      </c>
      <c r="C12" s="170">
        <f>'3rd Term Expected'!J11+'3rd Term Expected'!J14</f>
        <v>480120.24595245067</v>
      </c>
      <c r="D12" s="391">
        <f>'Improvement Allocation'!H11+'Improvement Allocation'!H14</f>
        <v>8000</v>
      </c>
      <c r="E12" s="170">
        <f t="shared" si="0"/>
        <v>488120.24595245067</v>
      </c>
      <c r="G12" s="157"/>
    </row>
    <row r="13" spans="1:7" ht="15" customHeight="1" x14ac:dyDescent="0.2">
      <c r="A13" s="168" t="s">
        <v>12</v>
      </c>
      <c r="B13" s="169" t="s">
        <v>13</v>
      </c>
      <c r="C13" s="170">
        <f>'3rd Term Expected'!J12</f>
        <v>0</v>
      </c>
      <c r="D13" s="391">
        <f>'Improvement Allocation'!H12</f>
        <v>28000</v>
      </c>
      <c r="E13" s="170">
        <f t="shared" si="0"/>
        <v>28000</v>
      </c>
      <c r="G13" s="157"/>
    </row>
    <row r="14" spans="1:7" ht="15" customHeight="1" x14ac:dyDescent="0.2">
      <c r="A14" s="168" t="s">
        <v>14</v>
      </c>
      <c r="B14" s="169" t="s">
        <v>137</v>
      </c>
      <c r="C14" s="170">
        <f>'3rd Term Expected'!J13</f>
        <v>95319.587514533167</v>
      </c>
      <c r="D14" s="391">
        <f>'Improvement Allocation'!H13</f>
        <v>0</v>
      </c>
      <c r="E14" s="170">
        <f t="shared" si="0"/>
        <v>95319.587514533167</v>
      </c>
      <c r="G14" s="157"/>
    </row>
    <row r="15" spans="1:7" ht="15" customHeight="1" x14ac:dyDescent="0.2">
      <c r="A15" s="168" t="s">
        <v>16</v>
      </c>
      <c r="B15" s="169" t="s">
        <v>17</v>
      </c>
      <c r="C15" s="170">
        <f>'3rd Term Expected'!J15</f>
        <v>0</v>
      </c>
      <c r="D15" s="391">
        <f>'Improvement Allocation'!H15</f>
        <v>68000</v>
      </c>
      <c r="E15" s="170">
        <f t="shared" si="0"/>
        <v>68000</v>
      </c>
      <c r="G15" s="157"/>
    </row>
    <row r="16" spans="1:7" ht="15" customHeight="1" x14ac:dyDescent="0.2">
      <c r="A16" s="168" t="s">
        <v>18</v>
      </c>
      <c r="B16" s="169" t="s">
        <v>138</v>
      </c>
      <c r="C16" s="170">
        <f>'3rd Term Expected'!J34</f>
        <v>825475.22337013565</v>
      </c>
      <c r="D16" s="391">
        <f>'Improvement Allocation'!H34</f>
        <v>48000</v>
      </c>
      <c r="E16" s="170">
        <f t="shared" si="0"/>
        <v>873475.22337013565</v>
      </c>
      <c r="G16" s="157"/>
    </row>
    <row r="17" spans="1:7" ht="15" customHeight="1" x14ac:dyDescent="0.2">
      <c r="A17" s="168" t="s">
        <v>19</v>
      </c>
      <c r="B17" s="169" t="s">
        <v>127</v>
      </c>
      <c r="C17" s="170">
        <f>'3rd Term Expected'!J16</f>
        <v>0</v>
      </c>
      <c r="D17" s="391">
        <f>'Improvement Allocation'!H16</f>
        <v>0</v>
      </c>
      <c r="E17" s="170">
        <f t="shared" si="0"/>
        <v>0</v>
      </c>
      <c r="G17" s="241"/>
    </row>
    <row r="18" spans="1:7" ht="15" customHeight="1" x14ac:dyDescent="0.2">
      <c r="A18" s="168" t="s">
        <v>116</v>
      </c>
      <c r="B18" s="169" t="s">
        <v>285</v>
      </c>
      <c r="C18" s="172">
        <f>'3rd Term Expected'!J17</f>
        <v>0</v>
      </c>
      <c r="D18" s="392">
        <f>'Improvement Allocation'!H17</f>
        <v>0</v>
      </c>
      <c r="E18" s="170">
        <f>C18+D18</f>
        <v>0</v>
      </c>
      <c r="G18" s="241"/>
    </row>
    <row r="19" spans="1:7" ht="15" customHeight="1" x14ac:dyDescent="0.2">
      <c r="A19" s="168" t="s">
        <v>21</v>
      </c>
      <c r="B19" s="173" t="s">
        <v>174</v>
      </c>
      <c r="C19" s="170">
        <f>'3rd Term Expected'!J18</f>
        <v>0</v>
      </c>
      <c r="D19" s="391">
        <f>'Improvement Allocation'!H18</f>
        <v>4000</v>
      </c>
      <c r="E19" s="170">
        <f t="shared" si="0"/>
        <v>4000</v>
      </c>
      <c r="G19" s="241"/>
    </row>
    <row r="20" spans="1:7" ht="15" customHeight="1" x14ac:dyDescent="0.2">
      <c r="A20" s="168" t="s">
        <v>108</v>
      </c>
      <c r="B20" s="169" t="s">
        <v>139</v>
      </c>
      <c r="C20" s="170">
        <f>'3rd Term Expected'!J19</f>
        <v>136100.85513088963</v>
      </c>
      <c r="D20" s="391">
        <f>'Improvement Allocation'!H19</f>
        <v>0</v>
      </c>
      <c r="E20" s="170">
        <f t="shared" si="0"/>
        <v>136100.85513088963</v>
      </c>
      <c r="G20" s="241"/>
    </row>
    <row r="21" spans="1:7" ht="15" customHeight="1" x14ac:dyDescent="0.2">
      <c r="A21" s="168" t="s">
        <v>26</v>
      </c>
      <c r="B21" s="169" t="s">
        <v>62</v>
      </c>
      <c r="C21" s="170">
        <f>'3rd Term Expected'!J36</f>
        <v>0</v>
      </c>
      <c r="D21" s="391">
        <f>'Improvement Allocation'!H36</f>
        <v>32000</v>
      </c>
      <c r="E21" s="170">
        <f t="shared" si="0"/>
        <v>32000</v>
      </c>
      <c r="G21" s="241"/>
    </row>
    <row r="22" spans="1:7" ht="15" customHeight="1" x14ac:dyDescent="0.2">
      <c r="A22" s="168" t="s">
        <v>22</v>
      </c>
      <c r="B22" s="169" t="s">
        <v>23</v>
      </c>
      <c r="C22" s="170">
        <f>'3rd Term Expected'!J35</f>
        <v>358103.31611717632</v>
      </c>
      <c r="D22" s="391">
        <f>'Improvement Allocation'!H35</f>
        <v>96000</v>
      </c>
      <c r="E22" s="170">
        <f t="shared" si="0"/>
        <v>454103.31611717632</v>
      </c>
      <c r="G22" s="241"/>
    </row>
    <row r="23" spans="1:7" ht="15" customHeight="1" x14ac:dyDescent="0.2">
      <c r="A23" s="168" t="s">
        <v>24</v>
      </c>
      <c r="B23" s="169" t="s">
        <v>135</v>
      </c>
      <c r="C23" s="170">
        <f>'3rd Term Expected'!J20</f>
        <v>221775.14416397401</v>
      </c>
      <c r="D23" s="391">
        <f>'Improvement Allocation'!H20</f>
        <v>64000</v>
      </c>
      <c r="E23" s="170">
        <f t="shared" si="0"/>
        <v>285775.14416397398</v>
      </c>
      <c r="G23" s="241"/>
    </row>
    <row r="24" spans="1:7" ht="15" customHeight="1" x14ac:dyDescent="0.2">
      <c r="A24" s="168" t="s">
        <v>27</v>
      </c>
      <c r="B24" s="169" t="s">
        <v>130</v>
      </c>
      <c r="C24" s="170">
        <f>'3rd Term Expected'!J21</f>
        <v>646274.02543754899</v>
      </c>
      <c r="D24" s="391">
        <f>'Improvement Allocation'!H21</f>
        <v>292000</v>
      </c>
      <c r="E24" s="170">
        <f t="shared" si="0"/>
        <v>938274.02543754899</v>
      </c>
      <c r="G24" s="241"/>
    </row>
    <row r="25" spans="1:7" ht="15" customHeight="1" x14ac:dyDescent="0.2">
      <c r="A25" s="168" t="s">
        <v>29</v>
      </c>
      <c r="B25" s="169" t="s">
        <v>131</v>
      </c>
      <c r="C25" s="170">
        <f>'3rd Term Expected'!J22</f>
        <v>475098.53296823392</v>
      </c>
      <c r="D25" s="391">
        <f>'Improvement Allocation'!H22</f>
        <v>4000</v>
      </c>
      <c r="E25" s="170">
        <f t="shared" si="0"/>
        <v>479098.53296823392</v>
      </c>
      <c r="G25" s="241"/>
    </row>
    <row r="26" spans="1:7" ht="15" customHeight="1" x14ac:dyDescent="0.2">
      <c r="A26" s="168" t="s">
        <v>31</v>
      </c>
      <c r="B26" s="169" t="s">
        <v>132</v>
      </c>
      <c r="C26" s="170">
        <f>'3rd Term Expected'!J23</f>
        <v>95549.415613108984</v>
      </c>
      <c r="D26" s="391">
        <f>'Improvement Allocation'!H23</f>
        <v>68000</v>
      </c>
      <c r="E26" s="170">
        <f t="shared" si="0"/>
        <v>163549.41561310898</v>
      </c>
      <c r="G26" s="241"/>
    </row>
    <row r="27" spans="1:7" ht="15" customHeight="1" x14ac:dyDescent="0.2">
      <c r="A27" s="168" t="s">
        <v>33</v>
      </c>
      <c r="B27" s="169" t="s">
        <v>128</v>
      </c>
      <c r="C27" s="170">
        <f>'3rd Term Expected'!J25</f>
        <v>0</v>
      </c>
      <c r="D27" s="391">
        <f>'Improvement Allocation'!H25</f>
        <v>28000</v>
      </c>
      <c r="E27" s="170">
        <f t="shared" si="0"/>
        <v>28000</v>
      </c>
      <c r="G27" s="241"/>
    </row>
    <row r="28" spans="1:7" ht="15" customHeight="1" x14ac:dyDescent="0.2">
      <c r="A28" s="168" t="s">
        <v>35</v>
      </c>
      <c r="B28" s="169" t="s">
        <v>36</v>
      </c>
      <c r="C28" s="170">
        <f>'3rd Term Expected'!J26</f>
        <v>370662.47609853803</v>
      </c>
      <c r="D28" s="391">
        <f>'Improvement Allocation'!H26</f>
        <v>24000</v>
      </c>
      <c r="E28" s="170">
        <f t="shared" si="0"/>
        <v>394662.47609853803</v>
      </c>
      <c r="G28" s="241"/>
    </row>
    <row r="29" spans="1:7" ht="15" customHeight="1" x14ac:dyDescent="0.2">
      <c r="A29" s="168" t="s">
        <v>37</v>
      </c>
      <c r="B29" s="169" t="s">
        <v>129</v>
      </c>
      <c r="C29" s="170">
        <f>'3rd Term Expected'!J27</f>
        <v>228457.29025728759</v>
      </c>
      <c r="D29" s="391">
        <f>'Improvement Allocation'!H27</f>
        <v>56000</v>
      </c>
      <c r="E29" s="170">
        <f t="shared" si="0"/>
        <v>284457.29025728756</v>
      </c>
      <c r="G29" s="241"/>
    </row>
    <row r="30" spans="1:7" ht="15" customHeight="1" x14ac:dyDescent="0.2">
      <c r="A30" s="168" t="s">
        <v>39</v>
      </c>
      <c r="B30" s="169" t="s">
        <v>133</v>
      </c>
      <c r="C30" s="170">
        <f>'3rd Term Expected'!J28</f>
        <v>259724.31631768358</v>
      </c>
      <c r="D30" s="391">
        <f>'Improvement Allocation'!H28</f>
        <v>92000</v>
      </c>
      <c r="E30" s="170">
        <f t="shared" si="0"/>
        <v>351724.31631768355</v>
      </c>
      <c r="G30" s="241"/>
    </row>
    <row r="31" spans="1:7" ht="15" customHeight="1" x14ac:dyDescent="0.2">
      <c r="A31" s="168" t="s">
        <v>46</v>
      </c>
      <c r="B31" s="169" t="s">
        <v>69</v>
      </c>
      <c r="C31" s="170">
        <f>'3rd Term Expected'!J30</f>
        <v>109621.45627990595</v>
      </c>
      <c r="D31" s="391">
        <f>'Improvement Allocation'!H30</f>
        <v>12000</v>
      </c>
      <c r="E31" s="170">
        <f t="shared" si="0"/>
        <v>121621.45627990595</v>
      </c>
      <c r="G31" s="241"/>
    </row>
    <row r="32" spans="1:7" ht="15" customHeight="1" x14ac:dyDescent="0.2">
      <c r="A32" s="168" t="s">
        <v>41</v>
      </c>
      <c r="B32" s="169" t="s">
        <v>115</v>
      </c>
      <c r="C32" s="170">
        <f>'3rd Term Expected'!J31</f>
        <v>0</v>
      </c>
      <c r="D32" s="391">
        <f>'Improvement Allocation'!H31</f>
        <v>8000</v>
      </c>
      <c r="E32" s="170">
        <f t="shared" si="0"/>
        <v>8000</v>
      </c>
      <c r="G32" s="241"/>
    </row>
    <row r="33" spans="1:9" ht="15" customHeight="1" x14ac:dyDescent="0.2">
      <c r="A33" s="168" t="s">
        <v>42</v>
      </c>
      <c r="B33" s="169" t="s">
        <v>68</v>
      </c>
      <c r="C33" s="170">
        <f>'3rd Term Expected'!J38</f>
        <v>0</v>
      </c>
      <c r="D33" s="391">
        <f>'Improvement Allocation'!H38</f>
        <v>36000</v>
      </c>
      <c r="E33" s="170">
        <f t="shared" si="0"/>
        <v>36000</v>
      </c>
      <c r="G33" s="241"/>
    </row>
    <row r="34" spans="1:9" ht="15" customHeight="1" x14ac:dyDescent="0.2">
      <c r="A34" s="168" t="s">
        <v>43</v>
      </c>
      <c r="B34" s="169" t="s">
        <v>44</v>
      </c>
      <c r="C34" s="170">
        <f>'3rd Term Expected'!J37</f>
        <v>198860.21635604039</v>
      </c>
      <c r="D34" s="391">
        <f>'Improvement Allocation'!H37</f>
        <v>24000</v>
      </c>
      <c r="E34" s="170">
        <f t="shared" si="0"/>
        <v>222860.21635604039</v>
      </c>
      <c r="G34" s="241"/>
    </row>
    <row r="35" spans="1:9" ht="15" customHeight="1" x14ac:dyDescent="0.2">
      <c r="A35" s="168" t="s">
        <v>45</v>
      </c>
      <c r="B35" s="169" t="s">
        <v>134</v>
      </c>
      <c r="C35" s="170">
        <f>'3rd Term Expected'!J29</f>
        <v>35153.763718111579</v>
      </c>
      <c r="D35" s="391">
        <f>'Improvement Allocation'!H29</f>
        <v>68000</v>
      </c>
      <c r="E35" s="170">
        <f t="shared" si="0"/>
        <v>103153.76371811159</v>
      </c>
      <c r="G35" s="241"/>
    </row>
    <row r="36" spans="1:9" ht="15" customHeight="1" x14ac:dyDescent="0.2">
      <c r="A36" s="168" t="s">
        <v>47</v>
      </c>
      <c r="B36" s="169" t="s">
        <v>48</v>
      </c>
      <c r="C36" s="170">
        <f>'3rd Term Expected'!J39</f>
        <v>0</v>
      </c>
      <c r="D36" s="391">
        <f>'Improvement Allocation'!H39</f>
        <v>12000</v>
      </c>
      <c r="E36" s="170">
        <f t="shared" si="0"/>
        <v>12000</v>
      </c>
      <c r="G36" s="241"/>
    </row>
    <row r="37" spans="1:9" ht="15" customHeight="1" x14ac:dyDescent="0.2">
      <c r="D37" s="174"/>
      <c r="I37" s="6"/>
    </row>
    <row r="38" spans="1:9" ht="15" customHeight="1" x14ac:dyDescent="0.2">
      <c r="B38" t="s">
        <v>49</v>
      </c>
      <c r="C38" s="174">
        <f>SUM(C7:C37)</f>
        <v>5173923.5296961749</v>
      </c>
      <c r="D38" s="174">
        <f>SUM(D7:D37)</f>
        <v>1312000</v>
      </c>
      <c r="E38" s="174">
        <f>SUM(E7:E37)</f>
        <v>6485923.5296961749</v>
      </c>
    </row>
    <row r="40" spans="1:9" ht="15" customHeight="1" x14ac:dyDescent="0.2">
      <c r="A40" s="15" t="s">
        <v>301</v>
      </c>
    </row>
    <row r="41" spans="1:9" ht="15" customHeight="1" x14ac:dyDescent="0.2">
      <c r="A41" s="15" t="s">
        <v>295</v>
      </c>
    </row>
    <row r="42" spans="1:9" ht="15" customHeight="1" x14ac:dyDescent="0.2">
      <c r="A42" s="15"/>
    </row>
  </sheetData>
  <pageMargins left="0.7" right="0.7" top="0.75" bottom="0.7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FY2015 Detail</vt:lpstr>
      <vt:lpstr>Sheet1</vt:lpstr>
      <vt:lpstr>Summary</vt:lpstr>
      <vt:lpstr>Instruction</vt:lpstr>
      <vt:lpstr>Academic Support Per FYE</vt:lpstr>
      <vt:lpstr>Student&amp;Institutional Support</vt:lpstr>
      <vt:lpstr>Weighted differ concurrent</vt:lpstr>
      <vt:lpstr>Facilities</vt:lpstr>
      <vt:lpstr>Student Success</vt:lpstr>
      <vt:lpstr>3rd Term Expected</vt:lpstr>
      <vt:lpstr>Improvement Allocation</vt:lpstr>
      <vt:lpstr>Research</vt:lpstr>
      <vt:lpstr>Revenue Offset</vt:lpstr>
      <vt:lpstr>'3rd Term Expected'!Print_Area</vt:lpstr>
      <vt:lpstr>'FY2015 Detail'!Print_Area</vt:lpstr>
      <vt:lpstr>'Improvement Allocation'!Print_Area</vt:lpstr>
      <vt:lpstr>Instruction!Print_Area</vt:lpstr>
      <vt:lpstr>Summary!Print_Area</vt:lpstr>
      <vt:lpstr>'FY2015 Detail'!Print_Titles</vt:lpstr>
      <vt:lpstr>Summary!Print_Titles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Kedrowski</dc:creator>
  <cp:lastModifiedBy>Susan Anderson</cp:lastModifiedBy>
  <cp:lastPrinted>2025-05-27T20:53:17Z</cp:lastPrinted>
  <dcterms:created xsi:type="dcterms:W3CDTF">2000-05-30T14:50:23Z</dcterms:created>
  <dcterms:modified xsi:type="dcterms:W3CDTF">2025-07-07T19:38:13Z</dcterms:modified>
</cp:coreProperties>
</file>