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bargain\000_Annual Operating Budget\FY2027 Operating Budget\"/>
    </mc:Choice>
  </mc:AlternateContent>
  <xr:revisionPtr revIDLastSave="0" documentId="8_{49995959-8D3F-45FC-BF8D-A1FEBEF50A4C}" xr6:coauthVersionLast="47" xr6:coauthVersionMax="47" xr10:uidLastSave="{00000000-0000-0000-0000-000000000000}"/>
  <bookViews>
    <workbookView xWindow="-120" yWindow="-120" windowWidth="29040" windowHeight="15720" activeTab="1" xr2:uid="{682105F7-0540-4392-8B4E-1C0E3912CE4D}"/>
  </bookViews>
  <sheets>
    <sheet name="Average Rates" sheetId="10" r:id="rId1"/>
    <sheet name="2A Res Hall Rates" sheetId="2" r:id="rId2"/>
    <sheet name="2B Student Union" sheetId="3" r:id="rId3"/>
    <sheet name="2C Wellness" sheetId="5" r:id="rId4"/>
    <sheet name="2D Parking " sheetId="4" r:id="rId5"/>
    <sheet name="2E Student Housing Owned" sheetId="6" r:id="rId6"/>
    <sheet name="2E Student Housing Managed" sheetId="7" r:id="rId7"/>
    <sheet name="Occupancy" sheetId="8" r:id="rId8"/>
    <sheet name="Res Life Summary Grid " sheetId="9" r:id="rId9"/>
  </sheets>
  <definedNames>
    <definedName name="_xlnm.Print_Area" localSheetId="1">'2A Res Hall Rates'!$A$1:$E$87</definedName>
    <definedName name="_xlnm.Print_Area" localSheetId="2">'2B Student Union'!$A$1:$I$30</definedName>
    <definedName name="_xlnm.Print_Area" localSheetId="3">'2C Wellness'!$A$1:$J$22</definedName>
    <definedName name="_xlnm.Print_Area" localSheetId="4">'2D Parking '!$A$1:$I$22</definedName>
    <definedName name="_xlnm.Print_Area" localSheetId="6">'2E Student Housing Managed'!$A$1:$F$14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9" l="1"/>
  <c r="C21" i="9"/>
  <c r="E20" i="9"/>
  <c r="D20" i="9"/>
  <c r="C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0" i="9" s="1"/>
  <c r="H23" i="8"/>
  <c r="E23" i="8"/>
  <c r="C23" i="8"/>
  <c r="H20" i="8"/>
  <c r="G20" i="8"/>
  <c r="G23" i="8" s="1"/>
  <c r="F20" i="8"/>
  <c r="I20" i="8" s="1"/>
  <c r="E20" i="8"/>
  <c r="D20" i="8"/>
  <c r="D23" i="8" s="1"/>
  <c r="C20" i="8"/>
  <c r="B20" i="8"/>
  <c r="B23" i="8" s="1"/>
  <c r="J19" i="8"/>
  <c r="I19" i="8"/>
  <c r="J18" i="8"/>
  <c r="I18" i="8"/>
  <c r="J17" i="8"/>
  <c r="I17" i="8"/>
  <c r="H12" i="8"/>
  <c r="C12" i="8"/>
  <c r="H11" i="8"/>
  <c r="G11" i="8"/>
  <c r="F11" i="8"/>
  <c r="F12" i="8" s="1"/>
  <c r="E11" i="8"/>
  <c r="E12" i="8" s="1"/>
  <c r="D11" i="8"/>
  <c r="D12" i="8" s="1"/>
  <c r="C11" i="8"/>
  <c r="I11" i="8" s="1"/>
  <c r="B11" i="8"/>
  <c r="B12" i="8" s="1"/>
  <c r="H9" i="8"/>
  <c r="F9" i="8"/>
  <c r="E9" i="8"/>
  <c r="D9" i="8"/>
  <c r="C9" i="8"/>
  <c r="B9" i="8"/>
  <c r="I9" i="8" s="1"/>
  <c r="I12" i="8" s="1"/>
  <c r="J8" i="8"/>
  <c r="I8" i="8"/>
  <c r="J7" i="8"/>
  <c r="I7" i="8"/>
  <c r="J6" i="8"/>
  <c r="I6" i="8"/>
  <c r="J5" i="8"/>
  <c r="I5" i="8"/>
  <c r="E79" i="6"/>
  <c r="D79" i="6"/>
  <c r="B79" i="6"/>
  <c r="E78" i="6"/>
  <c r="D78" i="6"/>
  <c r="E77" i="6"/>
  <c r="D77" i="6"/>
  <c r="E72" i="6"/>
  <c r="D72" i="6"/>
  <c r="E67" i="6"/>
  <c r="D67" i="6"/>
  <c r="E62" i="6"/>
  <c r="D62" i="6"/>
  <c r="E58" i="6"/>
  <c r="D58" i="6"/>
  <c r="E57" i="6"/>
  <c r="D57" i="6"/>
  <c r="E56" i="6"/>
  <c r="D56" i="6"/>
  <c r="E55" i="6"/>
  <c r="D55" i="6"/>
  <c r="E50" i="6"/>
  <c r="D50" i="6"/>
  <c r="C50" i="6"/>
  <c r="B50" i="6"/>
  <c r="E49" i="6"/>
  <c r="C49" i="6"/>
  <c r="D49" i="6" s="1"/>
  <c r="B49" i="6"/>
  <c r="E48" i="6"/>
  <c r="D48" i="6"/>
  <c r="E44" i="6"/>
  <c r="D44" i="6"/>
  <c r="C44" i="6"/>
  <c r="B44" i="6"/>
  <c r="C39" i="6"/>
  <c r="E39" i="6" s="1"/>
  <c r="B39" i="6"/>
  <c r="E38" i="6"/>
  <c r="D38" i="6"/>
  <c r="C38" i="6"/>
  <c r="B38" i="6"/>
  <c r="C34" i="6"/>
  <c r="E34" i="6" s="1"/>
  <c r="B34" i="6"/>
  <c r="E33" i="6"/>
  <c r="D33" i="6"/>
  <c r="C33" i="6"/>
  <c r="B33" i="6"/>
  <c r="C32" i="6"/>
  <c r="E32" i="6" s="1"/>
  <c r="B32" i="6"/>
  <c r="E31" i="6"/>
  <c r="D31" i="6"/>
  <c r="C31" i="6"/>
  <c r="B31" i="6"/>
  <c r="C27" i="6"/>
  <c r="E27" i="6" s="1"/>
  <c r="B27" i="6"/>
  <c r="E26" i="6"/>
  <c r="D26" i="6"/>
  <c r="C26" i="6"/>
  <c r="B26" i="6"/>
  <c r="C21" i="6"/>
  <c r="E21" i="6" s="1"/>
  <c r="B21" i="6"/>
  <c r="E17" i="6"/>
  <c r="D17" i="6"/>
  <c r="C17" i="6"/>
  <c r="B17" i="6"/>
  <c r="C16" i="6"/>
  <c r="E16" i="6" s="1"/>
  <c r="B16" i="6"/>
  <c r="E11" i="6"/>
  <c r="D11" i="6"/>
  <c r="E10" i="6"/>
  <c r="D10" i="6"/>
  <c r="E9" i="6"/>
  <c r="D9" i="6"/>
  <c r="H20" i="5"/>
  <c r="J20" i="5" s="1"/>
  <c r="E20" i="5"/>
  <c r="D17" i="5"/>
  <c r="H15" i="5"/>
  <c r="E15" i="5"/>
  <c r="H13" i="5"/>
  <c r="E13" i="5"/>
  <c r="H11" i="5"/>
  <c r="E11" i="5"/>
  <c r="H8" i="5"/>
  <c r="C8" i="5"/>
  <c r="E8" i="5" s="1"/>
  <c r="H6" i="5"/>
  <c r="E6" i="5"/>
  <c r="F12" i="4"/>
  <c r="H10" i="4"/>
  <c r="I9" i="4"/>
  <c r="H9" i="4"/>
  <c r="G8" i="4"/>
  <c r="H8" i="4"/>
  <c r="I7" i="4"/>
  <c r="D12" i="4"/>
  <c r="I6" i="4"/>
  <c r="H6" i="4"/>
  <c r="G22" i="3"/>
  <c r="D22" i="3"/>
  <c r="G20" i="3"/>
  <c r="D20" i="3"/>
  <c r="D26" i="3" s="1"/>
  <c r="G18" i="3"/>
  <c r="D18" i="3"/>
  <c r="D16" i="3"/>
  <c r="G14" i="3"/>
  <c r="H14" i="3" s="1"/>
  <c r="D14" i="3"/>
  <c r="G12" i="3"/>
  <c r="D12" i="3"/>
  <c r="G10" i="3"/>
  <c r="D10" i="3"/>
  <c r="G8" i="3"/>
  <c r="D8" i="3"/>
  <c r="G6" i="3"/>
  <c r="D6" i="3"/>
  <c r="E82" i="2"/>
  <c r="E80" i="2"/>
  <c r="D80" i="2"/>
  <c r="C10" i="2"/>
  <c r="E76" i="2"/>
  <c r="E73" i="2"/>
  <c r="B11" i="2"/>
  <c r="D69" i="2"/>
  <c r="E66" i="2"/>
  <c r="E64" i="2"/>
  <c r="D64" i="2"/>
  <c r="C9" i="2"/>
  <c r="N60" i="2"/>
  <c r="O60" i="2" s="1"/>
  <c r="B9" i="2"/>
  <c r="N59" i="2"/>
  <c r="O59" i="2" s="1"/>
  <c r="E56" i="2"/>
  <c r="D56" i="2"/>
  <c r="O53" i="2"/>
  <c r="E53" i="2"/>
  <c r="D53" i="2"/>
  <c r="N52" i="2"/>
  <c r="O52" i="2" s="1"/>
  <c r="C8" i="2"/>
  <c r="N50" i="2"/>
  <c r="O50" i="2" s="1"/>
  <c r="E49" i="2"/>
  <c r="E43" i="2"/>
  <c r="D43" i="2"/>
  <c r="E36" i="2"/>
  <c r="D36" i="2"/>
  <c r="E33" i="2"/>
  <c r="E32" i="2"/>
  <c r="B6" i="2"/>
  <c r="E26" i="2"/>
  <c r="D26" i="2"/>
  <c r="E24" i="2"/>
  <c r="D24" i="2"/>
  <c r="E23" i="2"/>
  <c r="D23" i="2"/>
  <c r="C5" i="2"/>
  <c r="B5" i="2"/>
  <c r="I13" i="5" l="1"/>
  <c r="D49" i="2"/>
  <c r="E46" i="2"/>
  <c r="E39" i="2"/>
  <c r="D42" i="2"/>
  <c r="E20" i="2"/>
  <c r="E50" i="2"/>
  <c r="H6" i="3"/>
  <c r="H20" i="3"/>
  <c r="I20" i="3"/>
  <c r="H12" i="3"/>
  <c r="I12" i="3"/>
  <c r="D5" i="2"/>
  <c r="D19" i="2"/>
  <c r="D30" i="2"/>
  <c r="E60" i="2"/>
  <c r="D72" i="2"/>
  <c r="B7" i="2"/>
  <c r="E40" i="2"/>
  <c r="D24" i="3"/>
  <c r="D20" i="2"/>
  <c r="E42" i="2"/>
  <c r="D61" i="2"/>
  <c r="E77" i="2"/>
  <c r="I18" i="3"/>
  <c r="C7" i="2"/>
  <c r="D7" i="2" s="1"/>
  <c r="D9" i="2"/>
  <c r="D63" i="2"/>
  <c r="I10" i="3"/>
  <c r="D21" i="2"/>
  <c r="E29" i="2"/>
  <c r="D39" i="2"/>
  <c r="E63" i="2"/>
  <c r="E70" i="2"/>
  <c r="E79" i="2"/>
  <c r="F24" i="3"/>
  <c r="I23" i="8"/>
  <c r="J20" i="8"/>
  <c r="F23" i="8"/>
  <c r="D16" i="6"/>
  <c r="D21" i="6"/>
  <c r="D27" i="6"/>
  <c r="D32" i="6"/>
  <c r="D34" i="6"/>
  <c r="D39" i="6"/>
  <c r="I15" i="5"/>
  <c r="H17" i="5"/>
  <c r="J15" i="5"/>
  <c r="E17" i="5"/>
  <c r="I6" i="5"/>
  <c r="J6" i="5"/>
  <c r="J11" i="5"/>
  <c r="I11" i="5"/>
  <c r="J8" i="5"/>
  <c r="I20" i="5"/>
  <c r="J13" i="5"/>
  <c r="G17" i="5"/>
  <c r="I8" i="5"/>
  <c r="G12" i="4"/>
  <c r="I8" i="4"/>
  <c r="G10" i="4"/>
  <c r="G7" i="4"/>
  <c r="H7" i="4"/>
  <c r="H12" i="4" s="1"/>
  <c r="I10" i="4"/>
  <c r="G9" i="4"/>
  <c r="G6" i="4"/>
  <c r="I8" i="3"/>
  <c r="H8" i="3"/>
  <c r="H22" i="3"/>
  <c r="I6" i="3"/>
  <c r="I14" i="3"/>
  <c r="I22" i="3"/>
  <c r="G26" i="3"/>
  <c r="C24" i="3"/>
  <c r="H10" i="3"/>
  <c r="H18" i="3"/>
  <c r="G16" i="3"/>
  <c r="G24" i="3"/>
  <c r="H24" i="3" s="1"/>
  <c r="D40" i="2"/>
  <c r="E69" i="2"/>
  <c r="E21" i="2"/>
  <c r="B8" i="2"/>
  <c r="B10" i="2"/>
  <c r="D29" i="2"/>
  <c r="D32" i="2"/>
  <c r="D60" i="2"/>
  <c r="D66" i="2"/>
  <c r="D70" i="2"/>
  <c r="D52" i="2"/>
  <c r="E52" i="2"/>
  <c r="C11" i="2"/>
  <c r="E30" i="2"/>
  <c r="D46" i="2"/>
  <c r="D50" i="2"/>
  <c r="E72" i="2"/>
  <c r="D77" i="2"/>
  <c r="E5" i="2"/>
  <c r="E9" i="2"/>
  <c r="E19" i="2"/>
  <c r="E61" i="2"/>
  <c r="C6" i="2"/>
  <c r="C13" i="2"/>
  <c r="D76" i="2"/>
  <c r="D79" i="2"/>
  <c r="B13" i="2" l="1"/>
  <c r="E7" i="2"/>
  <c r="I12" i="4"/>
  <c r="H24" i="4" s="1"/>
  <c r="J17" i="5"/>
  <c r="I17" i="5"/>
  <c r="I16" i="3"/>
  <c r="I24" i="3" s="1"/>
  <c r="H16" i="3"/>
  <c r="D6" i="2"/>
  <c r="E6" i="2"/>
  <c r="D8" i="2"/>
  <c r="E13" i="2"/>
  <c r="D13" i="2"/>
  <c r="E8" i="2"/>
  <c r="D11" i="2"/>
  <c r="E11" i="2"/>
  <c r="D10" i="2"/>
  <c r="E10" i="2"/>
  <c r="E11" i="7" l="1"/>
  <c r="D11" i="7"/>
  <c r="E10" i="7"/>
  <c r="D10" i="7"/>
  <c r="E9" i="7"/>
  <c r="D9" i="7"/>
</calcChain>
</file>

<file path=xl/sharedStrings.xml><?xml version="1.0" encoding="utf-8"?>
<sst xmlns="http://schemas.openxmlformats.org/spreadsheetml/2006/main" count="382" uniqueCount="252">
  <si>
    <t xml:space="preserve">Minnesota State-Revenue Fund </t>
  </si>
  <si>
    <t>Proposed Room and Board Fees FY 2027</t>
  </si>
  <si>
    <t>R&amp;B</t>
  </si>
  <si>
    <t xml:space="preserve"> R&amp;B </t>
  </si>
  <si>
    <t>Percent</t>
  </si>
  <si>
    <t>$</t>
  </si>
  <si>
    <t>FY2026</t>
  </si>
  <si>
    <t>FY2027</t>
  </si>
  <si>
    <t xml:space="preserve"> Change</t>
  </si>
  <si>
    <t>Change</t>
  </si>
  <si>
    <t>Bemidji State University</t>
  </si>
  <si>
    <t>Minnesota State University Moorhead</t>
  </si>
  <si>
    <t>Minnesota State University, Mankato</t>
  </si>
  <si>
    <t>St. Cloud State University</t>
  </si>
  <si>
    <t>Southwest Minnesota State University</t>
  </si>
  <si>
    <t>Winona State University</t>
  </si>
  <si>
    <t>Vermilion Community College**</t>
  </si>
  <si>
    <t>Average (double room &amp; board)</t>
  </si>
  <si>
    <t>** Vermilion is not included in average</t>
  </si>
  <si>
    <t xml:space="preserve">Approved </t>
  </si>
  <si>
    <t xml:space="preserve">Proposed </t>
  </si>
  <si>
    <t xml:space="preserve">Percent </t>
  </si>
  <si>
    <t>FY 2026</t>
  </si>
  <si>
    <t xml:space="preserve">Double Room </t>
  </si>
  <si>
    <t>Single Room</t>
  </si>
  <si>
    <t xml:space="preserve">Suites </t>
  </si>
  <si>
    <t>200 meals</t>
  </si>
  <si>
    <t>Flex Dollars included</t>
  </si>
  <si>
    <t>Summer Session (per week)</t>
  </si>
  <si>
    <t>Double Room</t>
  </si>
  <si>
    <t xml:space="preserve">Unlimited </t>
  </si>
  <si>
    <t xml:space="preserve">Summer Session (per night) </t>
  </si>
  <si>
    <t xml:space="preserve"> </t>
  </si>
  <si>
    <t>Double as Single</t>
  </si>
  <si>
    <t>Anytime Plan</t>
  </si>
  <si>
    <t xml:space="preserve">Summer Session (per week) </t>
  </si>
  <si>
    <t xml:space="preserve">Double </t>
  </si>
  <si>
    <t>These changes made on REV1 iteration</t>
  </si>
  <si>
    <t>Do Not Print</t>
  </si>
  <si>
    <t xml:space="preserve">TG/MW 3/10/04 </t>
  </si>
  <si>
    <t>2004 Single was incorrect in 2004</t>
  </si>
  <si>
    <t xml:space="preserve">AnytimePlan </t>
  </si>
  <si>
    <t>New Single 2006</t>
  </si>
  <si>
    <t>Increase over double</t>
  </si>
  <si>
    <t xml:space="preserve">Summer Session (10 weeks) </t>
  </si>
  <si>
    <t>Single (per week)</t>
  </si>
  <si>
    <t>14 meals a week</t>
  </si>
  <si>
    <t>Summer Session (Apartments)</t>
  </si>
  <si>
    <t>Doubles</t>
  </si>
  <si>
    <t>Singles</t>
  </si>
  <si>
    <t xml:space="preserve">10 meals / week </t>
  </si>
  <si>
    <t xml:space="preserve">14 Meals a Week </t>
  </si>
  <si>
    <t>Flex (Basic Mandatory) included</t>
  </si>
  <si>
    <t xml:space="preserve">Summer session </t>
  </si>
  <si>
    <t xml:space="preserve">(May only) </t>
  </si>
  <si>
    <t xml:space="preserve">Rates noted above are based on the most common traditional-style room and most popular board plan. Each university charges room and board rates based on the room type and amenities. </t>
  </si>
  <si>
    <t>**Vermilion Food Service is not in the Revenue Fund</t>
  </si>
  <si>
    <t>Minnesota State-Revenue Fund</t>
  </si>
  <si>
    <t>Proposed Student Union Facility Fees FY 2027</t>
  </si>
  <si>
    <t>Number of</t>
  </si>
  <si>
    <t>Rate Per</t>
  </si>
  <si>
    <t>Approved</t>
  </si>
  <si>
    <t>Proposed</t>
  </si>
  <si>
    <t>Credits FY 2026</t>
  </si>
  <si>
    <t>Credit FY 2026</t>
  </si>
  <si>
    <t xml:space="preserve"> FY 2026</t>
  </si>
  <si>
    <t>Credits FY 2027</t>
  </si>
  <si>
    <t>Credit FY 2027</t>
  </si>
  <si>
    <t xml:space="preserve"> FY 2027</t>
  </si>
  <si>
    <t xml:space="preserve">Metropolitan State University </t>
  </si>
  <si>
    <t>Minneapolis Community &amp; Technical College</t>
  </si>
  <si>
    <t>Normandale Community College</t>
  </si>
  <si>
    <t>Average Fee</t>
  </si>
  <si>
    <t xml:space="preserve">Maximum Fee </t>
  </si>
  <si>
    <t xml:space="preserve">The total maximum is the amount for the academic year only. </t>
  </si>
  <si>
    <t>Summer or other sessions are charged on a per credit bases</t>
  </si>
  <si>
    <t>Per Credit Facility Assessment Fee</t>
  </si>
  <si>
    <t>Proposed Parking Facility Fees FY 2027</t>
  </si>
  <si>
    <t>FY 26</t>
  </si>
  <si>
    <t>FY26</t>
  </si>
  <si>
    <t>FY 27</t>
  </si>
  <si>
    <t>FY27</t>
  </si>
  <si>
    <t xml:space="preserve"># of Credits </t>
  </si>
  <si>
    <t xml:space="preserve">Charge By Credit </t>
  </si>
  <si>
    <t xml:space="preserve"> per term </t>
  </si>
  <si>
    <t>Per Credit</t>
  </si>
  <si>
    <t>per term</t>
  </si>
  <si>
    <t>% Change</t>
  </si>
  <si>
    <t>Annual</t>
  </si>
  <si>
    <t>note</t>
  </si>
  <si>
    <t xml:space="preserve">Alexandria Technical and Community College </t>
  </si>
  <si>
    <t>Lot</t>
  </si>
  <si>
    <t>Surface Lot; All students charged except online and off campus internships</t>
  </si>
  <si>
    <t>Century College *</t>
  </si>
  <si>
    <t>Surface Lot</t>
  </si>
  <si>
    <t>Lot, Ramp</t>
  </si>
  <si>
    <t xml:space="preserve">Ramp; All students charged </t>
  </si>
  <si>
    <t xml:space="preserve">Saint Paul College </t>
  </si>
  <si>
    <t>Ramp</t>
  </si>
  <si>
    <t>Ramp; all students charged</t>
  </si>
  <si>
    <t>Metropolitan State University</t>
  </si>
  <si>
    <t>Average</t>
  </si>
  <si>
    <t xml:space="preserve">Charge by Use </t>
  </si>
  <si>
    <t>Per Day</t>
  </si>
  <si>
    <t>Minneapolis Community and Technical College</t>
  </si>
  <si>
    <t>Ramp; $5.00/cash (non-contract)</t>
  </si>
  <si>
    <t xml:space="preserve">St. Cloud State University </t>
  </si>
  <si>
    <t>Ramp; $1.50/hr; Max $12 day/$3.00 Evening After 6/$5.00 Weekend Day Flat Rate</t>
  </si>
  <si>
    <t xml:space="preserve">Average full time student cost based on 129 days of parking </t>
  </si>
  <si>
    <t xml:space="preserve">*Century paid off their bond in FY19  There is no cap on credits </t>
  </si>
  <si>
    <t>Anoka Ramsey Community College</t>
  </si>
  <si>
    <t xml:space="preserve">Annual Outdoor Rec Facilities/Sports Dome </t>
  </si>
  <si>
    <t>Minnesota State Community &amp; Technical College</t>
  </si>
  <si>
    <t>Minnesota State</t>
  </si>
  <si>
    <t>FY 2027 Housing Fees (Not in the Revenue Fund)</t>
  </si>
  <si>
    <t>University/College Owned/Foundation Owned</t>
  </si>
  <si>
    <t xml:space="preserve">Fall Days  - 120 Spring-137 Days Total 257 Housing Days </t>
  </si>
  <si>
    <t>Academic Year</t>
  </si>
  <si>
    <t>Alexandria Technical and Community College</t>
  </si>
  <si>
    <t xml:space="preserve"> 4 Bedroom Apartment</t>
  </si>
  <si>
    <t xml:space="preserve"> 3 Bedroom Apartment</t>
  </si>
  <si>
    <t xml:space="preserve"> 2 Bedroom Apartment</t>
  </si>
  <si>
    <t>Central Lakes College</t>
  </si>
  <si>
    <t>Foundation Owned/Private Managed</t>
  </si>
  <si>
    <t>Parkway Apartments 124 beds</t>
  </si>
  <si>
    <t xml:space="preserve">  Shared Bedroom </t>
  </si>
  <si>
    <t xml:space="preserve">  Private Bedroom</t>
  </si>
  <si>
    <t>Fond du Lac Tribal and Community College</t>
  </si>
  <si>
    <t xml:space="preserve">College Owned </t>
  </si>
  <si>
    <t>Cloquet (based on $20.00/night; 120 fall 127 spring days</t>
  </si>
  <si>
    <t>for a total of 247 days) 84 beds</t>
  </si>
  <si>
    <t>Minnesota North Hibbing</t>
  </si>
  <si>
    <t xml:space="preserve">College Owned 112 Beds-Apartment Style </t>
  </si>
  <si>
    <t>Minnesota North Itasca</t>
  </si>
  <si>
    <t>College Owned -115 Beds</t>
  </si>
  <si>
    <t>Triples</t>
  </si>
  <si>
    <t>Quads</t>
  </si>
  <si>
    <t>Minnesota North Rainy River</t>
  </si>
  <si>
    <t>College Owned 100 beds</t>
  </si>
  <si>
    <t>Minnesota West Community and Technical College</t>
  </si>
  <si>
    <t xml:space="preserve">Foundation Owned and Managed </t>
  </si>
  <si>
    <t>Canby (Carr Residence Hall) 14 beds</t>
  </si>
  <si>
    <t>Single room</t>
  </si>
  <si>
    <t>M-State Fergus Falls</t>
  </si>
  <si>
    <t>College Owned / College Managed 136 beds</t>
  </si>
  <si>
    <t xml:space="preserve">MSU Moorhead Foundation Apartments </t>
  </si>
  <si>
    <t xml:space="preserve">Foundation Owned/Univ. Managed John Neumaier Hall </t>
  </si>
  <si>
    <t>10 Month Lease  Number of beds 142</t>
  </si>
  <si>
    <t>Full Apartment Rental</t>
  </si>
  <si>
    <t xml:space="preserve">4 Residents </t>
  </si>
  <si>
    <t>3 Residents</t>
  </si>
  <si>
    <t>2 Residents</t>
  </si>
  <si>
    <t>Northland College Thief River Falls</t>
  </si>
  <si>
    <t>Foundation Owned and Managed 10 month lease</t>
  </si>
  <si>
    <t>Riverland Community College - Austin</t>
  </si>
  <si>
    <t>3 housing Apartments -96 Beds 1 Community Building</t>
  </si>
  <si>
    <t xml:space="preserve">Southwest Minn State Univ Foundation Apartments </t>
  </si>
  <si>
    <t xml:space="preserve">Foundation Owned and SMSU Res Life Managed </t>
  </si>
  <si>
    <t>9 Month Lease 142 beds</t>
  </si>
  <si>
    <t xml:space="preserve">1,2,3 and 4 bedrooms </t>
  </si>
  <si>
    <t xml:space="preserve">Winona State University </t>
  </si>
  <si>
    <t xml:space="preserve">Foundation Owned/Univ. Managed </t>
  </si>
  <si>
    <t>East Lake Apartments - 9 Month Lease 306 beds</t>
  </si>
  <si>
    <t>1 Bedroom</t>
  </si>
  <si>
    <t>2 Bedroom</t>
  </si>
  <si>
    <t>4 Bedroom</t>
  </si>
  <si>
    <t>FY2027 Housing Fees (Not in Revenue Fund)</t>
  </si>
  <si>
    <t>University/College Managed or Affiliated</t>
  </si>
  <si>
    <t>FY 2027</t>
  </si>
  <si>
    <t>Minnesota State University Mankato</t>
  </si>
  <si>
    <t>Stadium Heights Apartments LLLP 96 Units 369beds</t>
  </si>
  <si>
    <t xml:space="preserve"> Double room in 5 person Apartment</t>
  </si>
  <si>
    <t xml:space="preserve"> Single room in 5 person Apartment</t>
  </si>
  <si>
    <t xml:space="preserve"> Single room in 3 person Apartment</t>
  </si>
  <si>
    <t>Minnesota North Mesabi Range (Alpine Village)</t>
  </si>
  <si>
    <t xml:space="preserve">This facility is no longer connected with the College </t>
  </si>
  <si>
    <t>Management and operations has been transferred to the Virginia HRA</t>
  </si>
  <si>
    <t>Bemidji</t>
  </si>
  <si>
    <t>Mankato</t>
  </si>
  <si>
    <t>Moorhead</t>
  </si>
  <si>
    <t>St. Cloud</t>
  </si>
  <si>
    <t>Southwest</t>
  </si>
  <si>
    <t>Vermilion*</t>
  </si>
  <si>
    <t>Winona**</t>
  </si>
  <si>
    <t>Total</t>
  </si>
  <si>
    <t>State Univ Total</t>
  </si>
  <si>
    <t>Notes</t>
  </si>
  <si>
    <t>FACILITIES</t>
  </si>
  <si>
    <t>Square Footage</t>
  </si>
  <si>
    <t>Architectural Capacity</t>
  </si>
  <si>
    <t>Programmed Capacity</t>
  </si>
  <si>
    <t xml:space="preserve">*Vermion inludes all MN North properties </t>
  </si>
  <si>
    <t>Occupancy</t>
  </si>
  <si>
    <t>Occupancy (U only)</t>
  </si>
  <si>
    <t xml:space="preserve">Occupancy (all) </t>
  </si>
  <si>
    <t xml:space="preserve">Occupancy (U only) </t>
  </si>
  <si>
    <t>Revised for FY 2026</t>
  </si>
  <si>
    <t>Vermilion</t>
  </si>
  <si>
    <t>Winona</t>
  </si>
  <si>
    <t>Summary of Owned and Managed Housing 2027</t>
  </si>
  <si>
    <t>Beds</t>
  </si>
  <si>
    <r>
      <rPr>
        <b/>
        <u/>
        <sz val="12"/>
        <rFont val="Aptos Narrow"/>
        <family val="2"/>
        <scheme val="minor"/>
      </rPr>
      <t>R</t>
    </r>
    <r>
      <rPr>
        <b/>
        <sz val="12"/>
        <rFont val="Aptos Narrow"/>
        <family val="2"/>
        <scheme val="minor"/>
      </rPr>
      <t xml:space="preserve">ev </t>
    </r>
    <r>
      <rPr>
        <b/>
        <u/>
        <sz val="12"/>
        <rFont val="Aptos Narrow"/>
        <family val="2"/>
        <scheme val="minor"/>
      </rPr>
      <t>F</t>
    </r>
    <r>
      <rPr>
        <b/>
        <sz val="12"/>
        <rFont val="Aptos Narrow"/>
        <family val="2"/>
        <scheme val="minor"/>
      </rPr>
      <t xml:space="preserve">und or </t>
    </r>
    <r>
      <rPr>
        <b/>
        <u/>
        <sz val="12"/>
        <rFont val="Aptos Narrow"/>
        <family val="2"/>
        <scheme val="minor"/>
      </rPr>
      <t>N</t>
    </r>
    <r>
      <rPr>
        <b/>
        <sz val="12"/>
        <rFont val="Aptos Narrow"/>
        <family val="2"/>
        <scheme val="minor"/>
      </rPr>
      <t>ot</t>
    </r>
  </si>
  <si>
    <t xml:space="preserve">Owned </t>
  </si>
  <si>
    <t>Foundation Owned</t>
  </si>
  <si>
    <t>Third Party Owned</t>
  </si>
  <si>
    <t xml:space="preserve">Totals </t>
  </si>
  <si>
    <t xml:space="preserve">Alexandria Technical &amp; Community College </t>
  </si>
  <si>
    <t>N</t>
  </si>
  <si>
    <t>Bemidji State University*</t>
  </si>
  <si>
    <t>RF</t>
  </si>
  <si>
    <t>Central Lakes College (Brainerd)**</t>
  </si>
  <si>
    <t xml:space="preserve">M State - Fergus Falls </t>
  </si>
  <si>
    <t>MSU Moorhead</t>
  </si>
  <si>
    <t xml:space="preserve">MSU, Mankato </t>
  </si>
  <si>
    <t xml:space="preserve">Minn West, Canby </t>
  </si>
  <si>
    <t>Northland (Thief River Falls)***</t>
  </si>
  <si>
    <t>Riverland (Austin)</t>
  </si>
  <si>
    <t>Southwest Minnesota SU</t>
  </si>
  <si>
    <t>St. Cloud SU</t>
  </si>
  <si>
    <t>Winona SU</t>
  </si>
  <si>
    <t xml:space="preserve">Total beds in revenue fund </t>
  </si>
  <si>
    <t>University beds (exclude Vermilion)</t>
  </si>
  <si>
    <t xml:space="preserve">Managed or affiliated - property owned by third party (usually HRA or related foundation), but managed by campus  </t>
  </si>
  <si>
    <t xml:space="preserve">*University Heights located off campus </t>
  </si>
  <si>
    <t>** Central Lakes College Foundation purchased apartments adjacent to Central Lake College in December 2016</t>
  </si>
  <si>
    <t xml:space="preserve">*** The college's foundation renovated and opened student housing in August 2016 </t>
  </si>
  <si>
    <t>For Universities I used their program capacity to update</t>
  </si>
  <si>
    <t xml:space="preserve">Ramp; Open in FY16; all students charged, all credits regesiterd in the term are charged </t>
  </si>
  <si>
    <t>15 credits is considered Full Time</t>
  </si>
  <si>
    <t>Foundation owned Academic Lease -299 beds</t>
  </si>
  <si>
    <t>Proposed Wellness and Recreation Facility Fees FY 2027</t>
  </si>
  <si>
    <t>137 beds  Apartment style 3 or 4 beds</t>
  </si>
  <si>
    <t>Revenue Fund Only Housing</t>
  </si>
  <si>
    <t xml:space="preserve">Proposed for FY 2027 </t>
  </si>
  <si>
    <t xml:space="preserve">** Winona 33,989 GSF is food service  They are also planning to make rooms triples which increases their capacity </t>
  </si>
  <si>
    <t>MN North - Hibbing College</t>
  </si>
  <si>
    <t>MN North - Itasca CC</t>
  </si>
  <si>
    <t>MN North - Rainy River CC</t>
  </si>
  <si>
    <t>MN North - Vermilion CC</t>
  </si>
  <si>
    <t xml:space="preserve">Number of </t>
  </si>
  <si>
    <t>Revenue fund program or facility</t>
  </si>
  <si>
    <t>FY2027 Average Rate</t>
  </si>
  <si>
    <t>$ Change from FY2026</t>
  </si>
  <si>
    <t>% Change from FY2026</t>
  </si>
  <si>
    <t>Room and board for traditional double room with meal plan</t>
  </si>
  <si>
    <t>Student Union</t>
  </si>
  <si>
    <t>Wellness and Recreation Facilities</t>
  </si>
  <si>
    <t>Parking</t>
  </si>
  <si>
    <t>Updated 6/4  Technical Memo</t>
  </si>
  <si>
    <t>Williams Hillside - Singles</t>
  </si>
  <si>
    <t>Williams Hillside - Doubles</t>
  </si>
  <si>
    <t>College Manor -Singles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</si>
</sst>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&quot;$&quot;#,##0.00"/>
    <numFmt numFmtId="167" formatCode="0_);\(0\)"/>
    <numFmt numFmtId="168" formatCode="_(* #,##0_);_(* \(#,##0\);_(* &quot;-&quot;??_);_(@_)"/>
  </numFmts>
  <fonts count="2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indexed="5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indexed="59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rial"/>
      <family val="2"/>
    </font>
    <font>
      <sz val="12"/>
      <color rgb="FFFF0000"/>
      <name val="Aptos Narrow"/>
      <family val="2"/>
      <scheme val="minor"/>
    </font>
    <font>
      <u/>
      <sz val="12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b/>
      <u/>
      <sz val="12"/>
      <name val="Aptos Narrow"/>
      <family val="2"/>
      <scheme val="minor"/>
    </font>
    <font>
      <i/>
      <u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sz val="10"/>
      <color indexed="8"/>
      <name val="MS Sans Serif"/>
      <family val="2"/>
    </font>
    <font>
      <sz val="12"/>
      <name val="Aptos"/>
      <family val="2"/>
    </font>
    <font>
      <b/>
      <sz val="12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3CAE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20" fillId="0" borderId="0"/>
  </cellStyleXfs>
  <cellXfs count="280">
    <xf numFmtId="0" fontId="0" fillId="0" borderId="0" xfId="0"/>
    <xf numFmtId="0" fontId="2" fillId="0" borderId="0" xfId="0" applyFont="1"/>
    <xf numFmtId="165" fontId="3" fillId="0" borderId="0" xfId="1" applyNumberFormat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1" applyNumberFormat="1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3" fillId="0" borderId="0" xfId="0" applyNumberFormat="1" applyFont="1"/>
    <xf numFmtId="164" fontId="3" fillId="0" borderId="0" xfId="2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165" fontId="4" fillId="0" borderId="0" xfId="1" applyNumberFormat="1" applyFont="1" applyFill="1"/>
    <xf numFmtId="164" fontId="4" fillId="0" borderId="0" xfId="2" applyNumberFormat="1" applyFont="1" applyFill="1"/>
    <xf numFmtId="165" fontId="4" fillId="0" borderId="0" xfId="0" applyNumberFormat="1" applyFont="1" applyAlignment="1">
      <alignment horizontal="center"/>
    </xf>
    <xf numFmtId="0" fontId="7" fillId="0" borderId="0" xfId="0" applyFont="1"/>
    <xf numFmtId="165" fontId="4" fillId="0" borderId="3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0" fontId="4" fillId="2" borderId="0" xfId="0" applyFont="1" applyFill="1"/>
    <xf numFmtId="164" fontId="3" fillId="0" borderId="0" xfId="2" applyNumberFormat="1" applyFont="1"/>
    <xf numFmtId="43" fontId="4" fillId="0" borderId="0" xfId="0" applyNumberFormat="1" applyFont="1" applyAlignment="1">
      <alignment horizontal="center"/>
    </xf>
    <xf numFmtId="4" fontId="3" fillId="0" borderId="0" xfId="0" applyNumberFormat="1" applyFont="1"/>
    <xf numFmtId="165" fontId="3" fillId="0" borderId="0" xfId="1" applyNumberFormat="1" applyFont="1" applyFill="1" applyAlignment="1">
      <alignment horizontal="right"/>
    </xf>
    <xf numFmtId="166" fontId="3" fillId="0" borderId="0" xfId="0" applyNumberFormat="1" applyFont="1"/>
    <xf numFmtId="0" fontId="3" fillId="0" borderId="8" xfId="0" applyFont="1" applyBorder="1"/>
    <xf numFmtId="165" fontId="3" fillId="0" borderId="8" xfId="1" applyNumberFormat="1" applyFont="1" applyFill="1" applyBorder="1" applyAlignment="1">
      <alignment horizontal="right"/>
    </xf>
    <xf numFmtId="165" fontId="3" fillId="0" borderId="8" xfId="1" applyNumberFormat="1" applyFont="1" applyFill="1" applyBorder="1"/>
    <xf numFmtId="164" fontId="3" fillId="0" borderId="8" xfId="2" applyNumberFormat="1" applyFont="1" applyFill="1" applyBorder="1"/>
    <xf numFmtId="165" fontId="3" fillId="0" borderId="9" xfId="0" applyNumberFormat="1" applyFont="1" applyBorder="1"/>
    <xf numFmtId="0" fontId="3" fillId="0" borderId="10" xfId="0" applyFont="1" applyBorder="1"/>
    <xf numFmtId="165" fontId="3" fillId="0" borderId="10" xfId="1" applyNumberFormat="1" applyFont="1" applyFill="1" applyBorder="1" applyAlignment="1">
      <alignment horizontal="right"/>
    </xf>
    <xf numFmtId="165" fontId="3" fillId="0" borderId="10" xfId="1" applyNumberFormat="1" applyFont="1" applyFill="1" applyBorder="1"/>
    <xf numFmtId="164" fontId="3" fillId="0" borderId="10" xfId="2" applyNumberFormat="1" applyFont="1" applyFill="1" applyBorder="1"/>
    <xf numFmtId="165" fontId="3" fillId="0" borderId="11" xfId="0" applyNumberFormat="1" applyFont="1" applyBorder="1"/>
    <xf numFmtId="165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8" fillId="0" borderId="0" xfId="0" applyFont="1"/>
    <xf numFmtId="164" fontId="3" fillId="0" borderId="0" xfId="2" applyNumberFormat="1" applyFont="1" applyFill="1" applyBorder="1"/>
    <xf numFmtId="44" fontId="3" fillId="0" borderId="10" xfId="1" applyFont="1" applyFill="1" applyBorder="1"/>
    <xf numFmtId="165" fontId="3" fillId="0" borderId="0" xfId="1" applyNumberFormat="1" applyFont="1" applyFill="1" applyBorder="1"/>
    <xf numFmtId="10" fontId="3" fillId="0" borderId="0" xfId="0" applyNumberFormat="1" applyFont="1"/>
    <xf numFmtId="9" fontId="3" fillId="0" borderId="0" xfId="0" applyNumberFormat="1" applyFont="1"/>
    <xf numFmtId="7" fontId="3" fillId="0" borderId="0" xfId="1" applyNumberFormat="1" applyFont="1" applyFill="1" applyBorder="1" applyAlignment="1">
      <alignment horizontal="right"/>
    </xf>
    <xf numFmtId="7" fontId="3" fillId="0" borderId="0" xfId="1" applyNumberFormat="1" applyFont="1" applyFill="1" applyBorder="1"/>
    <xf numFmtId="0" fontId="8" fillId="0" borderId="0" xfId="0" applyFont="1" applyAlignment="1">
      <alignment horizontal="left"/>
    </xf>
    <xf numFmtId="164" fontId="3" fillId="0" borderId="0" xfId="2" applyNumberFormat="1" applyFont="1" applyBorder="1"/>
    <xf numFmtId="165" fontId="3" fillId="0" borderId="8" xfId="1" applyNumberFormat="1" applyFont="1" applyBorder="1"/>
    <xf numFmtId="164" fontId="3" fillId="0" borderId="8" xfId="2" applyNumberFormat="1" applyFont="1" applyBorder="1"/>
    <xf numFmtId="165" fontId="3" fillId="0" borderId="10" xfId="1" applyNumberFormat="1" applyFont="1" applyBorder="1"/>
    <xf numFmtId="164" fontId="3" fillId="0" borderId="10" xfId="2" applyNumberFormat="1" applyFont="1" applyBorder="1"/>
    <xf numFmtId="165" fontId="3" fillId="0" borderId="0" xfId="1" applyNumberFormat="1" applyFont="1" applyBorder="1" applyAlignment="1">
      <alignment horizontal="right"/>
    </xf>
    <xf numFmtId="0" fontId="3" fillId="3" borderId="0" xfId="0" applyFont="1" applyFill="1"/>
    <xf numFmtId="0" fontId="4" fillId="4" borderId="0" xfId="0" applyFont="1" applyFill="1"/>
    <xf numFmtId="0" fontId="3" fillId="4" borderId="0" xfId="0" applyFont="1" applyFill="1"/>
    <xf numFmtId="0" fontId="3" fillId="0" borderId="3" xfId="0" applyFont="1" applyBorder="1"/>
    <xf numFmtId="0" fontId="3" fillId="5" borderId="4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9" fillId="0" borderId="0" xfId="0" applyFont="1"/>
    <xf numFmtId="0" fontId="3" fillId="0" borderId="12" xfId="0" applyFont="1" applyBorder="1"/>
    <xf numFmtId="0" fontId="3" fillId="5" borderId="0" xfId="0" applyFont="1" applyFill="1"/>
    <xf numFmtId="0" fontId="3" fillId="0" borderId="13" xfId="0" applyFont="1" applyBorder="1"/>
    <xf numFmtId="0" fontId="3" fillId="0" borderId="6" xfId="0" applyFont="1" applyBorder="1"/>
    <xf numFmtId="0" fontId="3" fillId="5" borderId="7" xfId="0" applyFont="1" applyFill="1" applyBorder="1"/>
    <xf numFmtId="0" fontId="3" fillId="0" borderId="7" xfId="0" applyFont="1" applyBorder="1"/>
    <xf numFmtId="0" fontId="3" fillId="0" borderId="2" xfId="0" applyFont="1" applyBorder="1"/>
    <xf numFmtId="0" fontId="10" fillId="0" borderId="0" xfId="0" applyFont="1"/>
    <xf numFmtId="166" fontId="3" fillId="0" borderId="12" xfId="0" applyNumberFormat="1" applyFont="1" applyBorder="1"/>
    <xf numFmtId="166" fontId="3" fillId="0" borderId="6" xfId="0" applyNumberFormat="1" applyFont="1" applyBorder="1"/>
    <xf numFmtId="165" fontId="7" fillId="0" borderId="0" xfId="1" applyNumberFormat="1" applyFont="1" applyFill="1" applyBorder="1"/>
    <xf numFmtId="165" fontId="7" fillId="0" borderId="0" xfId="1" applyNumberFormat="1" applyFont="1" applyBorder="1"/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11" fillId="0" borderId="0" xfId="0" applyFont="1"/>
    <xf numFmtId="10" fontId="3" fillId="0" borderId="0" xfId="2" applyNumberFormat="1" applyFont="1"/>
    <xf numFmtId="10" fontId="3" fillId="0" borderId="8" xfId="2" applyNumberFormat="1" applyFont="1" applyBorder="1"/>
    <xf numFmtId="10" fontId="3" fillId="0" borderId="10" xfId="2" applyNumberFormat="1" applyFont="1" applyBorder="1"/>
    <xf numFmtId="10" fontId="3" fillId="0" borderId="0" xfId="0" applyNumberFormat="1" applyFont="1" applyAlignment="1">
      <alignment horizontal="center"/>
    </xf>
    <xf numFmtId="0" fontId="4" fillId="0" borderId="0" xfId="3" applyFont="1"/>
    <xf numFmtId="0" fontId="1" fillId="0" borderId="0" xfId="3"/>
    <xf numFmtId="0" fontId="4" fillId="0" borderId="0" xfId="4" applyFont="1"/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3" fillId="0" borderId="0" xfId="3" applyFont="1" applyAlignment="1">
      <alignment horizontal="center"/>
    </xf>
    <xf numFmtId="44" fontId="3" fillId="0" borderId="5" xfId="1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166" fontId="3" fillId="0" borderId="0" xfId="3" applyNumberFormat="1" applyFont="1"/>
    <xf numFmtId="166" fontId="3" fillId="0" borderId="0" xfId="3" applyNumberFormat="1" applyFont="1" applyAlignment="1">
      <alignment horizontal="center"/>
    </xf>
    <xf numFmtId="7" fontId="3" fillId="0" borderId="13" xfId="1" applyNumberFormat="1" applyFont="1" applyFill="1" applyBorder="1" applyAlignment="1">
      <alignment horizontal="center"/>
    </xf>
    <xf numFmtId="7" fontId="3" fillId="0" borderId="0" xfId="1" applyNumberFormat="1" applyFont="1" applyFill="1" applyAlignment="1">
      <alignment horizontal="center"/>
    </xf>
    <xf numFmtId="10" fontId="3" fillId="0" borderId="0" xfId="2" applyNumberFormat="1" applyFont="1" applyAlignment="1">
      <alignment horizontal="center"/>
    </xf>
    <xf numFmtId="7" fontId="3" fillId="0" borderId="0" xfId="3" applyNumberFormat="1" applyFont="1"/>
    <xf numFmtId="0" fontId="13" fillId="0" borderId="0" xfId="3" applyFont="1"/>
    <xf numFmtId="7" fontId="3" fillId="0" borderId="0" xfId="1" applyNumberFormat="1" applyFont="1" applyAlignment="1">
      <alignment horizontal="center"/>
    </xf>
    <xf numFmtId="0" fontId="4" fillId="0" borderId="0" xfId="3" applyFont="1" applyAlignment="1">
      <alignment horizontal="left"/>
    </xf>
    <xf numFmtId="167" fontId="3" fillId="0" borderId="0" xfId="1" applyNumberFormat="1" applyFont="1"/>
    <xf numFmtId="166" fontId="4" fillId="0" borderId="0" xfId="3" applyNumberFormat="1" applyFont="1" applyAlignment="1">
      <alignment horizontal="center"/>
    </xf>
    <xf numFmtId="7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7" fontId="3" fillId="0" borderId="0" xfId="1" applyNumberFormat="1" applyFont="1"/>
    <xf numFmtId="10" fontId="4" fillId="0" borderId="0" xfId="2" applyNumberFormat="1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7" fontId="4" fillId="0" borderId="0" xfId="1" applyNumberFormat="1" applyFont="1" applyFill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3" applyFont="1"/>
    <xf numFmtId="0" fontId="4" fillId="0" borderId="0" xfId="3" applyFont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12" xfId="3" applyFont="1" applyBorder="1"/>
    <xf numFmtId="1" fontId="3" fillId="0" borderId="0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0" fontId="3" fillId="0" borderId="7" xfId="3" applyFont="1" applyBorder="1"/>
    <xf numFmtId="0" fontId="3" fillId="0" borderId="7" xfId="3" applyFont="1" applyBorder="1" applyAlignment="1">
      <alignment horizontal="center"/>
    </xf>
    <xf numFmtId="44" fontId="3" fillId="0" borderId="0" xfId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44" fontId="3" fillId="0" borderId="0" xfId="3" applyNumberFormat="1" applyFont="1"/>
    <xf numFmtId="44" fontId="4" fillId="0" borderId="0" xfId="1" applyFont="1" applyAlignment="1">
      <alignment horizontal="center"/>
    </xf>
    <xf numFmtId="44" fontId="4" fillId="0" borderId="0" xfId="3" applyNumberFormat="1" applyFont="1"/>
    <xf numFmtId="44" fontId="3" fillId="0" borderId="0" xfId="0" applyNumberFormat="1" applyFont="1"/>
    <xf numFmtId="44" fontId="4" fillId="0" borderId="0" xfId="1" applyFont="1" applyFill="1" applyAlignment="1">
      <alignment horizontal="center"/>
    </xf>
    <xf numFmtId="44" fontId="3" fillId="0" borderId="0" xfId="1" applyFont="1" applyBorder="1"/>
    <xf numFmtId="10" fontId="3" fillId="0" borderId="0" xfId="2" applyNumberFormat="1" applyFont="1" applyBorder="1" applyAlignment="1">
      <alignment horizontal="center"/>
    </xf>
    <xf numFmtId="44" fontId="3" fillId="0" borderId="0" xfId="1" applyFont="1"/>
    <xf numFmtId="168" fontId="4" fillId="0" borderId="0" xfId="5" applyNumberFormat="1" applyFont="1"/>
    <xf numFmtId="0" fontId="14" fillId="0" borderId="0" xfId="3" applyFont="1" applyAlignment="1">
      <alignment horizontal="center"/>
    </xf>
    <xf numFmtId="1" fontId="14" fillId="0" borderId="0" xfId="3" applyNumberFormat="1" applyFont="1"/>
    <xf numFmtId="0" fontId="15" fillId="0" borderId="0" xfId="3" applyFont="1"/>
    <xf numFmtId="166" fontId="16" fillId="0" borderId="0" xfId="3" applyNumberFormat="1" applyFont="1"/>
    <xf numFmtId="0" fontId="14" fillId="0" borderId="0" xfId="3" applyFont="1"/>
    <xf numFmtId="0" fontId="3" fillId="0" borderId="12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1" xfId="3" applyFont="1" applyBorder="1"/>
    <xf numFmtId="0" fontId="17" fillId="0" borderId="0" xfId="3" applyFont="1"/>
    <xf numFmtId="0" fontId="3" fillId="0" borderId="6" xfId="3" applyFont="1" applyBorder="1"/>
    <xf numFmtId="0" fontId="3" fillId="0" borderId="6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" fontId="3" fillId="0" borderId="3" xfId="3" applyNumberFormat="1" applyFont="1" applyBorder="1" applyAlignment="1">
      <alignment horizontal="center"/>
    </xf>
    <xf numFmtId="166" fontId="3" fillId="0" borderId="0" xfId="3" applyNumberFormat="1" applyFont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10" fontId="3" fillId="0" borderId="12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3" fillId="0" borderId="13" xfId="3" applyNumberFormat="1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0" fontId="3" fillId="0" borderId="0" xfId="1" applyNumberFormat="1" applyFont="1" applyBorder="1" applyAlignment="1"/>
    <xf numFmtId="0" fontId="3" fillId="0" borderId="0" xfId="1" applyNumberFormat="1" applyFont="1" applyBorder="1" applyAlignment="1">
      <alignment vertical="top"/>
    </xf>
    <xf numFmtId="8" fontId="3" fillId="0" borderId="12" xfId="3" applyNumberFormat="1" applyFont="1" applyBorder="1" applyAlignment="1">
      <alignment horizontal="center"/>
    </xf>
    <xf numFmtId="0" fontId="14" fillId="0" borderId="12" xfId="3" applyFont="1" applyBorder="1"/>
    <xf numFmtId="8" fontId="3" fillId="0" borderId="7" xfId="3" applyNumberFormat="1" applyFont="1" applyBorder="1" applyAlignment="1">
      <alignment horizontal="center"/>
    </xf>
    <xf numFmtId="8" fontId="3" fillId="0" borderId="6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center"/>
    </xf>
    <xf numFmtId="8" fontId="3" fillId="0" borderId="2" xfId="3" applyNumberFormat="1" applyFont="1" applyBorder="1" applyAlignment="1">
      <alignment horizontal="center"/>
    </xf>
    <xf numFmtId="10" fontId="3" fillId="0" borderId="0" xfId="3" applyNumberFormat="1" applyFont="1" applyAlignment="1">
      <alignment horizontal="center"/>
    </xf>
    <xf numFmtId="8" fontId="1" fillId="0" borderId="0" xfId="3" applyNumberFormat="1"/>
    <xf numFmtId="0" fontId="1" fillId="0" borderId="4" xfId="3" applyBorder="1"/>
    <xf numFmtId="0" fontId="1" fillId="0" borderId="5" xfId="3" applyBorder="1"/>
    <xf numFmtId="0" fontId="5" fillId="0" borderId="0" xfId="3" applyFont="1"/>
    <xf numFmtId="166" fontId="4" fillId="0" borderId="0" xfId="3" applyNumberFormat="1" applyFont="1"/>
    <xf numFmtId="166" fontId="3" fillId="0" borderId="13" xfId="3" applyNumberFormat="1" applyFont="1" applyBorder="1" applyAlignment="1">
      <alignment horizontal="center"/>
    </xf>
    <xf numFmtId="0" fontId="1" fillId="0" borderId="12" xfId="3" applyBorder="1"/>
    <xf numFmtId="166" fontId="1" fillId="0" borderId="0" xfId="3" applyNumberFormat="1"/>
    <xf numFmtId="166" fontId="1" fillId="0" borderId="0" xfId="3" applyNumberFormat="1" applyAlignment="1">
      <alignment horizontal="center"/>
    </xf>
    <xf numFmtId="0" fontId="5" fillId="0" borderId="0" xfId="3" applyFont="1" applyAlignment="1">
      <alignment horizontal="left"/>
    </xf>
    <xf numFmtId="0" fontId="1" fillId="0" borderId="6" xfId="3" applyBorder="1"/>
    <xf numFmtId="166" fontId="4" fillId="0" borderId="7" xfId="3" applyNumberFormat="1" applyFont="1" applyBorder="1" applyAlignment="1">
      <alignment horizontal="center"/>
    </xf>
    <xf numFmtId="166" fontId="4" fillId="0" borderId="7" xfId="2" applyNumberFormat="1" applyFont="1" applyBorder="1" applyAlignment="1">
      <alignment horizontal="center"/>
    </xf>
    <xf numFmtId="1" fontId="4" fillId="0" borderId="6" xfId="3" applyNumberFormat="1" applyFont="1" applyBorder="1" applyAlignment="1">
      <alignment horizontal="center"/>
    </xf>
    <xf numFmtId="0" fontId="1" fillId="0" borderId="7" xfId="3" applyBorder="1"/>
    <xf numFmtId="10" fontId="3" fillId="0" borderId="7" xfId="3" applyNumberFormat="1" applyFont="1" applyBorder="1" applyAlignment="1">
      <alignment horizontal="center"/>
    </xf>
    <xf numFmtId="166" fontId="3" fillId="0" borderId="2" xfId="3" applyNumberFormat="1" applyFont="1" applyBorder="1" applyAlignment="1">
      <alignment horizontal="center"/>
    </xf>
    <xf numFmtId="166" fontId="4" fillId="0" borderId="0" xfId="0" applyNumberFormat="1" applyFont="1"/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0" fontId="4" fillId="0" borderId="0" xfId="2" applyNumberFormat="1" applyFont="1" applyFill="1" applyAlignment="1">
      <alignment horizontal="center"/>
    </xf>
    <xf numFmtId="0" fontId="4" fillId="0" borderId="4" xfId="0" applyFont="1" applyBorder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/>
    <xf numFmtId="7" fontId="3" fillId="0" borderId="0" xfId="1" applyNumberFormat="1" applyFont="1" applyFill="1"/>
    <xf numFmtId="10" fontId="3" fillId="0" borderId="0" xfId="2" applyNumberFormat="1" applyFont="1" applyFill="1"/>
    <xf numFmtId="165" fontId="3" fillId="0" borderId="0" xfId="1" applyNumberFormat="1" applyFont="1" applyFill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5" fontId="3" fillId="0" borderId="0" xfId="0" applyNumberFormat="1" applyFont="1"/>
    <xf numFmtId="5" fontId="3" fillId="0" borderId="0" xfId="1" applyNumberFormat="1" applyFont="1" applyFill="1"/>
    <xf numFmtId="7" fontId="3" fillId="0" borderId="0" xfId="0" applyNumberFormat="1" applyFont="1"/>
    <xf numFmtId="0" fontId="4" fillId="6" borderId="0" xfId="0" applyFont="1" applyFill="1" applyAlignment="1">
      <alignment horizontal="center"/>
    </xf>
    <xf numFmtId="168" fontId="3" fillId="0" borderId="14" xfId="5" applyNumberFormat="1" applyFont="1" applyFill="1" applyBorder="1"/>
    <xf numFmtId="168" fontId="3" fillId="0" borderId="14" xfId="5" applyNumberFormat="1" applyFont="1" applyBorder="1"/>
    <xf numFmtId="168" fontId="3" fillId="0" borderId="0" xfId="0" applyNumberFormat="1" applyFont="1"/>
    <xf numFmtId="168" fontId="3" fillId="0" borderId="15" xfId="5" applyNumberFormat="1" applyFont="1" applyFill="1" applyBorder="1"/>
    <xf numFmtId="168" fontId="3" fillId="0" borderId="15" xfId="5" applyNumberFormat="1" applyFont="1" applyBorder="1"/>
    <xf numFmtId="0" fontId="3" fillId="0" borderId="0" xfId="0" quotePrefix="1" applyFont="1"/>
    <xf numFmtId="168" fontId="3" fillId="0" borderId="16" xfId="5" applyNumberFormat="1" applyFont="1" applyFill="1" applyBorder="1"/>
    <xf numFmtId="168" fontId="3" fillId="0" borderId="16" xfId="5" applyNumberFormat="1" applyFont="1" applyBorder="1"/>
    <xf numFmtId="168" fontId="3" fillId="0" borderId="0" xfId="5" applyNumberFormat="1" applyFont="1" applyFill="1" applyBorder="1"/>
    <xf numFmtId="0" fontId="19" fillId="0" borderId="0" xfId="0" applyFont="1"/>
    <xf numFmtId="0" fontId="4" fillId="0" borderId="20" xfId="0" applyFont="1" applyBorder="1"/>
    <xf numFmtId="0" fontId="4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6" applyFont="1" applyBorder="1" applyAlignment="1">
      <alignment horizontal="center" wrapText="1"/>
    </xf>
    <xf numFmtId="168" fontId="3" fillId="7" borderId="20" xfId="5" applyNumberFormat="1" applyFont="1" applyFill="1" applyBorder="1" applyAlignment="1"/>
    <xf numFmtId="168" fontId="4" fillId="7" borderId="20" xfId="5" applyNumberFormat="1" applyFont="1" applyFill="1" applyBorder="1" applyAlignment="1"/>
    <xf numFmtId="168" fontId="3" fillId="0" borderId="20" xfId="5" applyNumberFormat="1" applyFont="1" applyBorder="1" applyAlignment="1"/>
    <xf numFmtId="168" fontId="3" fillId="0" borderId="20" xfId="5" applyNumberFormat="1" applyFont="1" applyBorder="1"/>
    <xf numFmtId="0" fontId="3" fillId="8" borderId="20" xfId="0" applyFont="1" applyFill="1" applyBorder="1" applyAlignment="1">
      <alignment horizontal="left" vertical="center" wrapText="1"/>
    </xf>
    <xf numFmtId="0" fontId="3" fillId="8" borderId="20" xfId="6" applyFont="1" applyFill="1" applyBorder="1" applyAlignment="1">
      <alignment horizontal="center" wrapText="1"/>
    </xf>
    <xf numFmtId="168" fontId="4" fillId="8" borderId="20" xfId="5" applyNumberFormat="1" applyFont="1" applyFill="1" applyBorder="1" applyAlignment="1"/>
    <xf numFmtId="168" fontId="4" fillId="0" borderId="20" xfId="5" applyNumberFormat="1" applyFont="1" applyBorder="1" applyAlignment="1"/>
    <xf numFmtId="168" fontId="3" fillId="0" borderId="20" xfId="5" applyNumberFormat="1" applyFont="1" applyFill="1" applyBorder="1" applyAlignment="1"/>
    <xf numFmtId="168" fontId="4" fillId="0" borderId="20" xfId="5" applyNumberFormat="1" applyFont="1" applyFill="1" applyBorder="1" applyAlignment="1"/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3" fillId="0" borderId="20" xfId="6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9" borderId="0" xfId="0" applyFont="1" applyFill="1" applyAlignment="1">
      <alignment horizontal="right"/>
    </xf>
    <xf numFmtId="0" fontId="3" fillId="9" borderId="0" xfId="0" applyFont="1" applyFill="1" applyAlignment="1">
      <alignment horizontal="center"/>
    </xf>
    <xf numFmtId="168" fontId="3" fillId="9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3" xfId="3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167" fontId="3" fillId="0" borderId="12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7" fontId="3" fillId="0" borderId="13" xfId="3" applyNumberFormat="1" applyFont="1" applyBorder="1"/>
    <xf numFmtId="167" fontId="3" fillId="0" borderId="12" xfId="1" applyNumberFormat="1" applyFont="1" applyBorder="1" applyAlignment="1">
      <alignment horizontal="center"/>
    </xf>
    <xf numFmtId="7" fontId="3" fillId="0" borderId="0" xfId="1" applyNumberFormat="1" applyFont="1" applyBorder="1" applyAlignment="1">
      <alignment horizontal="center"/>
    </xf>
    <xf numFmtId="1" fontId="3" fillId="0" borderId="12" xfId="3" applyNumberFormat="1" applyFont="1" applyBorder="1"/>
    <xf numFmtId="167" fontId="3" fillId="0" borderId="12" xfId="1" applyNumberFormat="1" applyFont="1" applyBorder="1"/>
    <xf numFmtId="7" fontId="3" fillId="0" borderId="2" xfId="1" applyNumberFormat="1" applyFont="1" applyBorder="1" applyAlignment="1">
      <alignment horizontal="center"/>
    </xf>
    <xf numFmtId="167" fontId="3" fillId="0" borderId="6" xfId="1" applyNumberFormat="1" applyFont="1" applyBorder="1" applyAlignment="1">
      <alignment horizontal="center"/>
    </xf>
    <xf numFmtId="7" fontId="3" fillId="0" borderId="7" xfId="1" applyNumberFormat="1" applyFont="1" applyBorder="1" applyAlignment="1">
      <alignment horizontal="center"/>
    </xf>
    <xf numFmtId="10" fontId="3" fillId="0" borderId="7" xfId="2" applyNumberFormat="1" applyFont="1" applyBorder="1" applyAlignment="1">
      <alignment horizontal="center"/>
    </xf>
    <xf numFmtId="7" fontId="3" fillId="0" borderId="2" xfId="3" applyNumberFormat="1" applyFont="1" applyBorder="1"/>
    <xf numFmtId="0" fontId="4" fillId="0" borderId="0" xfId="3" applyFont="1" applyAlignment="1">
      <alignment wrapText="1"/>
    </xf>
    <xf numFmtId="0" fontId="13" fillId="0" borderId="0" xfId="3" applyFont="1" applyAlignment="1">
      <alignment wrapText="1"/>
    </xf>
    <xf numFmtId="166" fontId="3" fillId="0" borderId="4" xfId="3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166" fontId="3" fillId="0" borderId="0" xfId="2" applyNumberFormat="1" applyFont="1" applyBorder="1" applyAlignment="1">
      <alignment horizontal="center"/>
    </xf>
    <xf numFmtId="10" fontId="3" fillId="0" borderId="0" xfId="3" applyNumberFormat="1" applyFont="1"/>
    <xf numFmtId="166" fontId="3" fillId="0" borderId="13" xfId="3" applyNumberFormat="1" applyFont="1" applyBorder="1"/>
    <xf numFmtId="166" fontId="3" fillId="0" borderId="2" xfId="3" applyNumberFormat="1" applyFont="1" applyBorder="1"/>
    <xf numFmtId="44" fontId="4" fillId="0" borderId="5" xfId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7" fontId="4" fillId="0" borderId="4" xfId="1" applyNumberFormat="1" applyFont="1" applyBorder="1" applyAlignment="1">
      <alignment horizontal="center"/>
    </xf>
    <xf numFmtId="7" fontId="3" fillId="0" borderId="0" xfId="1" applyNumberFormat="1" applyFont="1" applyBorder="1"/>
    <xf numFmtId="7" fontId="4" fillId="0" borderId="0" xfId="1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2" fillId="10" borderId="1" xfId="0" applyFont="1" applyFill="1" applyBorder="1" applyAlignment="1">
      <alignment vertical="center" wrapText="1"/>
    </xf>
    <xf numFmtId="0" fontId="22" fillId="10" borderId="21" xfId="0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8" fontId="21" fillId="0" borderId="2" xfId="0" applyNumberFormat="1" applyFont="1" applyBorder="1" applyAlignment="1">
      <alignment vertical="center" wrapText="1"/>
    </xf>
    <xf numFmtId="6" fontId="21" fillId="0" borderId="2" xfId="0" applyNumberFormat="1" applyFont="1" applyBorder="1" applyAlignment="1">
      <alignment vertical="center" wrapText="1"/>
    </xf>
    <xf numFmtId="164" fontId="21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7">
    <cellStyle name="Comma 2" xfId="5" xr:uid="{49CD82A6-35AB-4060-B12B-856A545F5C76}"/>
    <cellStyle name="Currency 2 2" xfId="1" xr:uid="{BB935467-A9E3-4BF8-A58F-3CFF618A48A8}"/>
    <cellStyle name="Normal" xfId="0" builtinId="0"/>
    <cellStyle name="Normal 2 3" xfId="3" xr:uid="{105CB2E1-D2A2-4E9D-8192-5CAE92A9A2BA}"/>
    <cellStyle name="Normal_Datahist" xfId="4" xr:uid="{BC0F4523-31FA-4B28-B71F-9E71B8249B33}"/>
    <cellStyle name="Normal_Sheet1" xfId="6" xr:uid="{33CF4611-5674-4DD0-BD7F-41B1226B850D}"/>
    <cellStyle name="Percent 4" xfId="2" xr:uid="{C22DBE6B-F4C5-415E-B521-1B769394E0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917EB-243A-44F4-83BF-8EEA1717BB37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F21F23-F90E-4938-BFD5-3DD6324A6988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F66CE9A-E518-40F9-BEF3-352EF25921EF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C5C6685-FF92-4AC6-9551-5C8FF5E0FC80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ED26E2F-02A1-4F6A-955E-EB98D0F18CD0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E5BC5B4-DF7A-4E27-B60E-462E3009737C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D889CA2-F5B1-440B-B7B8-046F0F790A16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59BFA09-56F9-4CAD-8FDA-3CEDE1CBE4A4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C114639-10F7-4290-8BCF-A97B404D3F8F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997B4CF-FCFE-4FD1-B757-D88FDFC2BE95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E53B716-14FC-4D61-BA55-4B83E1E59721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96A7A4-C804-4A5B-808E-6D1C34B7A88A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160540A-A876-41A5-A9AE-4CAD6B8A05AF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6E50497-3A93-42D0-BE8F-99D23BD71BFF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0A1CDBC-C603-4A2A-B21D-038A5126CBD5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A525691-49A1-4C6B-BB40-0D571D6332AE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504FEA5-552E-449E-BD89-3FF2EB24BF6D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1ACDB7F-1D53-4DF2-8B9B-5AFA98054690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8F4F446-3245-458E-92C1-37AAB507C262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ECD7CD3-2489-4835-BF1F-A3227C1A3599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E334516-A848-4426-9C40-3108D6B1B1D1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6A0CD74-826D-4CD6-A978-C2EAF192DC5C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E02368-A87D-4697-8290-44DEE3F0452C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A87B9EC-2D62-4E1C-92A5-490A5BE6EAEF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3016143-BA10-4778-9117-8EE9A2C31EB3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D39DBBC-AA3F-4224-BF3E-19D842445058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A992515-3576-4633-9039-33D4F8C9EC97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0DC9014-B2D8-4367-84C4-B2832E6F8325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C8FEE30-2C77-453F-AAD5-21A842BE48E9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5D77A4F-8360-49F3-AB85-6F10B53D6F10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01C6352-DAD3-44E9-88BF-6107270B4451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F710834-3DC1-4641-A7F4-EA846BBEADF0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1C2C4A8-20C7-4093-84A1-B99D2BD0E791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70CECF7-5618-4CAC-A0AC-1BA1205BCF29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52F0CAC-D021-4BC9-B840-126F82E2965C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27CF8C2-3419-4223-8B62-E7E3F58C39CB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E745763-5122-4E6B-B59D-5A4BE8D50249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28B58A6-BEC1-4355-AD2C-29026D2F3731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380F438-4850-410F-BCB8-6F9D62931CEB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F0E5E70-5FE9-4E3F-BE93-2C11C2DA5816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68D237F-E086-43AD-9D45-397953C43939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03E4507-21E3-4B57-819E-96DC86D02CCB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4D20798-6E62-4E4E-91AA-27BB2DBCD0CB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554F039-5767-442A-8A45-36ADDF3D1E85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2566E4F-58EA-4D2A-A19C-89BBB19D802A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8ED37E7-7952-4F85-98EB-AF8847002090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A94930C-386C-4A67-98DA-AF2F532D5CA0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CE75EC7-9FB6-4D8F-9C7E-A630861A5D9B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AECCB60-D3A1-4AD7-A8F9-56F5F37E3F4C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48EAB67-CD71-46D5-B066-03DC7716E52C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FC7C161-7C6D-46D0-AC12-9A7175C8E661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6D36797-4D2C-4555-897A-6FBC106CCEEA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187269-AF0C-48A2-9E02-A0F06BAE8160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33B42BD-860A-4F8C-AC93-494D991E176D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394524D-BE24-412D-98DA-245C62C5373E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4A13657-3715-4E67-B4BF-3B0FBD051D2A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4032D7E7-04CA-4845-8061-F89365206A8F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57E2421-1A4D-410B-BE47-9218AA1CB7C8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AA5F68B-CBE9-45E9-8EFC-132FE340883C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D4F65E0-B20E-46F1-A4BF-5875EC5BE329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1442337-5959-4B32-A486-AE3792B909B4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C37E7630-418A-4FB6-95D6-8736FB4D7331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11B8BF5-9733-49B7-9944-C74F365BD5B6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1B5078D-AC9F-499E-8E41-5743985625B8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9846BED-C150-4196-B38F-C1901B434E14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987E230-296C-419A-BA21-22F047A3889D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97B0ABA6-4C08-42B4-B9A6-BD187A4EA685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FA234A2-31F1-4E61-83A5-F51DB2A30BE4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857A608-EA61-42C1-A250-675F881B447D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AA23E00-3E55-47B9-90A3-007BA7166C5A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052BE5F-4F12-4868-9FAE-5AEC096CDC8D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7FA8BEE-8D70-43A4-8D1B-23750E736589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D98637A-C00A-4A69-8F5D-5C583D63EDB1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5C40D1F-287E-4FFE-BF0D-59B727E3E7CF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1D75855-36DE-47C3-A151-DE2D27A78710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294CA03-D9DC-41D3-99E0-318D4830E050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8F1253E-0CB0-4F81-83AC-F31225DF0C29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E062B27-B8F3-4E63-AF79-11EDF1BAB6F7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73BEE53-6F99-4AA7-A3E6-5DF5434C496A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61D0F55-CC33-475E-82AE-0F76D0691006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60313A57-5567-4352-98FD-D674384BAE82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B824332-66E6-4115-82E8-F03A5853F3C7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528CDB6-F2F9-437C-B475-0107BCB0164F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0AC5974-4EE8-4513-B254-03999A72D19D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5B2A15F-C31E-4A1B-B6A8-57EE252F3177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865DC03-4D7B-4467-BA31-336DA650FA67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88501044-7095-492B-8A9D-3D8520780498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FA2214B-C91D-45A7-A5CB-35ABC3739895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5444D8FF-4C90-44FB-8858-FA0D0D7DEEBC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BE32C14D-FEFA-466E-9F44-E9CCE5AFF34F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1246AAD-50EF-4B54-8A02-AA5545515CAD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5523A41A-0AD4-4F3F-9F5D-32100ACB33A8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9D4B39ED-A2A9-484D-A708-9C376046EF04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F9FCE5D-9E5A-440C-9AE3-8245E3AF25DB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D1C8313B-ACD6-4F82-9EAA-0DDE82094A9B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C792145-DE59-48D8-9A37-CD2446A6B6B1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E75D52-8396-4923-93E0-D9499F86F4F1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594119DD-6ADB-451F-82A5-4C724CBA5D13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EFA0C22-F44F-4EA9-B6F3-0F46991AF552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2D891094-9288-46C6-BB26-B82D655D0BED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604D5A8-E458-4981-AD49-1F83AFA94500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827E55A-DDB4-4F93-8801-A1E5C662795E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194999C-4FF3-4491-85EE-6B96AA49C714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42CDD0D-3242-4920-8D48-0DD445ACBC29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C3C7180-845F-43B8-9261-67B3A8BB0C75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B1D5248-EC07-4761-9EF9-DABC116301FC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4112CDD7-D3AA-4CF7-A918-6F026C7121FF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1221AC6-B626-4AA6-BE6A-4F7C01C21293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7688BD6-77CB-4731-8CCC-1B9D858670C6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6776220-FC91-43EE-9124-FBFB4040DAD9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D363046F-7B70-4E03-AFDC-2FCE9C0BBFE7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EF4FED3F-3D30-4C46-9CAC-55698B2C8F61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6D770D24-67A6-495F-BF85-E727167F4E60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F7B9AAFE-CC0A-4D23-B3B0-8F653B66CA4A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71CADAF1-2455-46B4-9F2D-CE7DA88F879D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E3A0CFD3-2286-4676-B832-B47011F0E3F4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FB9F52D-5F5C-4969-BA89-8D22DAFCCA38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3DACB39-481E-43CD-8990-F289AF2C9FA2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9D3F17D8-ABB8-462C-BF16-AD3FCEB87F6A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EEB4A24B-A4D7-445B-A2C1-452BEB99ABAB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DB18D84-6BF7-4402-9DA8-0CB0753FBDCA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1FC03D33-6ACA-4C78-AD55-B6399B1C2F48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EDF83E8B-F887-41FD-B969-F2BCF80F157B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7EEC30D-9EEF-4317-9BD4-7AE40584796B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1BC74BF3-6BBD-4711-BC01-9D3DA4E2A9A9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C8ACC1D5-9980-4C4D-8940-0931B28AA2EE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B28D41E-48C6-4D4C-A0A0-1844C245C71A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E09ACE9-264A-44A9-B607-E77260EB5E3C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92B89268-75A1-4C59-ABD2-0F975A2479D1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E60D0D56-43E9-4418-ADFD-DB568C540064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3D5C024F-91BA-4A60-B94F-A8B639B20871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5F37E8C8-A0EC-4530-BAB9-7A3BA6EBA7AC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81F051CD-E3CF-4D8E-88AF-68E33BCCB277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9DD13D4D-1C97-4581-8D08-BB2C3A8F7C53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CCB3B6D6-677A-4825-82D3-CA642EF72A09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D9FFB273-D048-4F29-83C1-9AAC6B8332F0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D270546-9B57-4492-8B90-74C6121D63C0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69663662-6992-4658-8243-6D07377A500F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C04263DF-869A-4AB0-9D02-BEAE7ECC31DF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3F9BFDB5-334F-4CD3-A436-C69699AFCA3D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5B5EE522-1781-47CC-A3AE-737E30ED5548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D3076591-BDEA-484B-809D-10B7E6604002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91F92098-EC96-41A5-BB17-8FA42551E60F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D94FF9F8-F83E-486D-8DF0-A1EE17A67EAB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CFB93CD-4FDC-41AA-A75D-0F0BB443E9CB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8C33D295-E53F-459B-91A3-215B57A615E7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3E481493-C35B-464B-A6F0-ECFEE01DE22E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A44D2465-3D5F-4673-B72F-0B89D5EB696D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7AA38CBB-80E8-45E7-A15E-11E4F7926951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1BE9E3BC-F537-4F0D-9A2D-34A86B8A2E8A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160ABAAC-1E7A-456D-A01D-A2CC945730F2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72A35CDF-91B6-419C-BEA5-8863DBDE2174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7E7ABE2D-CB5A-4CE3-B0EA-CE9E40A721F5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D820D504-0BDC-4BF9-9EDA-8120744AF249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81458E5-8485-4380-A499-ABFAD30EDBF9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E4C8220D-97C7-4A12-941D-FF0D1F3E74D6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0769014-6F6D-4954-B8DA-19062308FE52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56E8110A-6A39-4969-8579-5105D7E49894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23C1E8EB-E486-4346-ACCC-A1D814AB7946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C5810199-A1FF-4D92-9C2C-2BEA0A6C203A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5492B9AD-FB20-458C-A49B-5CF498E93D5D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F326D597-12F2-4B20-9074-0E3C98BA0149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D412C7A-E917-4CD9-960B-451E62CE8033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770B7119-FA1C-43BC-A3AC-9ED7BF3ADF43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91EC498E-924B-4E78-9A62-BAE0BB3DEE83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8951869F-44AF-4C88-A6ED-8B0297272AC2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9A2FDF84-A1DF-4B87-86FC-5F41D01FA159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F0965310-197F-4A28-B1AC-35E246824F5C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BDA661DC-E7BE-4D17-918B-E138A5FCA390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E2176207-7394-49F8-A10F-FB70638D65DD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4F6E9ADB-52B0-419E-94DB-3B4C8CD2DF77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75677368-DE6A-4A77-9011-531D70BF8419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3401244-443D-499F-B2AF-FE476C741070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F3CB98F6-7647-4D9C-BEEE-CF6277462C37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3862BD8B-40A9-4431-B3CB-02D5C815966C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FE5E290C-0AA4-4A3F-9AE5-19402EE9CCB1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BB3E0964-ED2D-4C8E-8EBE-704D8BB3EEDC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4F545084-8227-41A2-AF7D-ADC03119B1DA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E95A1795-231A-4916-A755-DCE92ED7CEF8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D0FACA21-15D1-4B4C-B072-502A0B563B90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5BD936EE-EA8F-470C-A602-BC2C6095A580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DBAE6CD0-47AB-41DD-B8CD-F10658A8DB42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26582DA6-1244-4EE5-97F7-B003387969D5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2E9B88B-6DFF-4F5A-8B8C-4616C3534E4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75D0BFE7-E732-4176-89AA-4C2F9F00E9E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8FCCD540-548B-4BEB-A877-B5EC7641CEA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CAB31D12-C40B-41B0-981C-B5E7CB07873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9C088F31-47C4-40F7-97DC-9491CEF09675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53C49293-16B2-42F8-AF10-E8A55D1D2DB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83A97BEF-C1A9-40EF-8A7B-361F6F0F7E6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CAC36C11-B6AE-4AA1-8CC7-3B540B8B938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F0584F6E-0BFB-422F-A040-D020B9A94292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50021FA7-6767-451A-BD17-2318B4951A24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EADD1652-EF87-49E0-AB75-7021BA3B69D9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9C9D5B17-E939-4F36-9E20-9D2DEF52B29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1F90FC5E-F160-41D1-B7B4-3A37B315852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1E646D79-F406-40C3-8AAA-2F82A3C490AA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A057CA53-DEFF-4D8E-8B7C-8217825CA13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C98E30FA-2239-4660-A195-767E774C576A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484B601-3337-4E8D-BD5E-EB0C13719B06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928F32AD-4E6A-4326-ADAF-CC3DF87E26C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EE3B9572-FAA2-460A-9D0E-B0D0668629D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DDE367D9-C0D6-4215-BFA1-301B63CD0089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9D42B2A9-FC2E-4594-8E90-FF46485B652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A17EF69B-A92C-4944-93D8-F77701CFD247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9203760D-C861-41AC-BEC7-FCC16340A02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762DB4E4-13E4-4E49-9896-A54EA0CBF00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39749D34-C37B-4543-ABB2-5C1E9A4E82F0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43CA0128-E68C-4FC4-96D5-E62DFE4335E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5DEE0924-9497-4C17-9023-DFB4956F9FF4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4A922EB9-A67C-401F-8CD5-E8749C16D857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A9B1B9A9-6FF1-409E-B7B3-1011D50C66B4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9CC51AB9-4CEE-4E72-8147-5D8FDDFFE69A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2C096F84-A4B6-4597-882F-6A584C0BF42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91DE5E11-B4B6-4502-8A45-976046C1FC0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5B23D84B-7CD7-40BC-8E85-F8FBCFA8C14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9EFB0983-B2E2-4BDE-84EF-47FF538C5BC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1DADF902-F3CE-4553-BB2A-78FADCA30625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7EF05341-F435-45B5-945E-83CBDFAF9C1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978F07DC-FC74-4A7D-8474-F8F6C8DF339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5671DAB1-AD58-4F68-BC93-3E2D13ECC16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B71FC5E1-BBA4-465B-B5D8-660130912D0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5E898746-4029-4B48-81C1-6563AFF9A3FC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93568414-0339-4AB3-B53F-6F3CFF452B3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C2BFAC59-0F23-474D-A434-B37923315E6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AB74090-57F8-454C-A6C8-BB759981C6D7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25E7C476-521C-4F90-822B-6FF7D01B55C8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AB901EA8-F86D-41CB-B424-EC69B4A9FECC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E2943384-4085-46DE-BB28-F66C215F1C9B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5C4EAC47-FAF2-425A-9C9D-1EE49FD88ECD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9B3CF1A2-AC48-404E-BE76-7D3FD16BD264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C3386250-48AB-45C0-B4B1-1C0DE6350C13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7242B8B9-C011-4C6F-9AA3-E7D38F957864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BA3AF8CA-4410-4AD6-81DC-9701DC5868CD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3603A8F7-0BD5-4E36-8C61-7694A9CEF949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22B578E6-3EC8-4374-94BF-C29612E2AB01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AE52A262-46DC-444F-85AB-E5BBB4A7525A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BA0394EA-FBEE-4794-AFA8-8D983BD3B0E9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4818F50-4CDC-45D9-B68E-4D4E53215612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9D34D6B6-DF92-4DF0-8441-F3F3F46EFFA8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75D1E19-9F3C-49E2-9BD5-1B64999DCC29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605632E-8B59-4838-B47B-DF7E8A0299C1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DA3CEABC-62C5-423F-8943-24D7415C9FAD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F8DAEC47-0A67-4B55-9152-9709019168A3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E45D05B8-DFCD-4A6A-BD15-57C1700AAD36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37D38311-CF12-4210-B25D-C8ADBB684832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56F810D8-404B-4DE0-AC15-66367C236548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4B7A846F-9D3F-4BA2-836D-750D03E37039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BD687B9-F05F-49B6-9D0F-88855BAE4D88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7E297C38-ED66-4FD1-B003-A51F603AF87A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3963902-771A-49D0-960E-0AE31DECF8EA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30C712CB-BEE1-430E-A632-F3173F8E1164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FA0B9368-F660-456F-BDB8-5898B7FE98E0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C5D888A2-4864-46EB-8C04-0CDA3C56430A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53838076-AAAD-4D18-8A4F-CAA39F89AB17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4BEF239B-4A8A-4C8C-9B12-9E87CC9E7C3C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2763AF34-5E8C-4D3E-B864-84549A319B46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9FACEAC7-2138-4B99-98E4-9385E2604EA7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8204DD9C-D908-49D5-9D9F-1E84D84918EE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E41E3354-A2D2-4AF3-B7B9-E3CC91889AB9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9A0206DB-A6FD-49A8-88D8-1ED276041063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61F8F83F-8F3E-46AC-A220-8F63E4B0A892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D85DCEFA-C5F8-467A-BB06-2C51C8A7BEB9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9F18D67F-4B3E-4113-8988-8BB0FA30687F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CF067873-B412-4D59-94FE-D1EBE492A8A0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EDDD7699-B760-483B-9F3C-D608231FB1B1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E0B91377-52DD-4683-944B-19C9F0FA779D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B20D235A-1854-4642-AA6C-0FB968A43B72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3E1E6B9F-0CCD-4A38-BDF1-1BE3D0382AD3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16F569B7-322A-409E-B141-9FADFB7E40AA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8D0215E4-5180-4061-A4E7-FBEBBABA4659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BA419C6E-74C1-4755-A27B-8D3B542BBFB9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6BB9B358-4BCA-48AB-8D6E-5049BA1BD7A7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D7FD50D7-6881-4595-93B2-A3917D3CAC84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36ED4F2A-D57E-409C-AB52-E9AB98A1A845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E3F700A9-BEBC-4B64-B22E-F05D171E7AFC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488DB453-9A9E-4BA2-93C7-0DF1993F4D17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A7B4870-B1A9-4D7B-8F20-F9319FB74C7F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760260C7-AA5A-42F7-BA91-8A16372140DD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924A4F92-FD53-4F2A-9AAE-416CC19A3841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DA089414-5C7D-46F8-9C22-1329CD142CB0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F7949699-5973-41A1-9B34-80F7ACA90E1D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252E66BD-7EE8-44F2-8241-92EA3CC15408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89D0E7C2-F880-4F60-8498-564201CB9226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6D50C435-650F-44A8-93BB-23B000DC8388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D2A8786-749C-4EA3-8146-C4B8084B20AB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BFCF7AAF-AC3D-41D8-83A7-D984C5F440D4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1A358606-0878-4C52-BAB4-1D845A74E2DC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675CC8EA-3732-4315-BC14-5E0B81B69EAD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8CEE9A5A-DC3F-408E-B801-6FD9177CFF6F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8C4642E8-7142-4692-9116-FE68DB5D7301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29AE778B-78DF-48E6-A6DC-7A385D556FE0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F2B0106E-4CF5-4D87-917C-08291F6FB274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52FB494F-49CA-4EE2-99B4-6CCEDED1BF96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82FC24BB-6919-4A58-ADFB-F88E52BF55AE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242F21FF-D15E-4491-BD7E-921A87D1A6C6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C4BA33FD-0BAF-4817-A29A-DFE9C0D9269A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E067C913-260B-4378-B6E7-2079FCB3E696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D16F15E-3499-4FAC-AEC9-72E32B8C08CF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EC057029-1307-4CF0-97E3-FD6443699536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7AF8BB9D-1F2A-44D6-922A-699392711E02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637FE74D-80D7-4002-9DDC-C9288BA24922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9F5A83E0-0D7F-4946-B691-64473EDAA819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11707E69-B4BC-4C9D-A19A-016C76DC39EE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16CA5D66-4CDA-42DD-B7DA-2D515A7326E7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FDE27863-5A6F-4530-8467-3735DDDFCB7C}"/>
            </a:ext>
          </a:extLst>
        </xdr:cNvPr>
        <xdr:cNvSpPr txBox="1"/>
      </xdr:nvSpPr>
      <xdr:spPr>
        <a:xfrm>
          <a:off x="3438525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FB0FA078-4354-4BF8-B864-D54F871BC9C7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936F0164-FD62-432A-BF93-9DD15C63A97C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60AAA04D-37FA-443C-B6E1-A2C10954784C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371CAB04-47A9-4A41-933D-3F857AFB5E8D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4DEC7F73-7E6B-4605-B963-D628DA9F70A1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2BE4EF0-7F71-42AF-9287-8753EDC81644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AB467F5F-3069-4FF7-83B7-AC0AE9DF80CB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5607526C-08EE-4C94-9DC3-4A00FA6B1DAB}"/>
            </a:ext>
          </a:extLst>
        </xdr:cNvPr>
        <xdr:cNvSpPr txBox="1"/>
      </xdr:nvSpPr>
      <xdr:spPr>
        <a:xfrm>
          <a:off x="5410200" y="282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6F8E373F-D675-447A-8ECB-06A80ED80764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EAFBBAF1-E427-4AF2-80DF-2269527A4038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201B4588-0878-44AD-98F9-D83DF83B049C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8AC874AD-7E24-489F-8D43-93A1946D3234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697B1962-7515-47D4-A0C2-EEE81FCB121C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92B0315D-B914-4D82-BC4C-5DF2D8EA9D1F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17BFB4DB-B207-4F96-8590-8738906AA287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A8F230E7-EF52-422C-8F9A-9E160EA636CD}"/>
            </a:ext>
          </a:extLst>
        </xdr:cNvPr>
        <xdr:cNvSpPr txBox="1"/>
      </xdr:nvSpPr>
      <xdr:spPr>
        <a:xfrm>
          <a:off x="5410200" y="392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A46774FB-13E6-4104-BBB4-96D428501683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B152973E-675C-440B-9ACF-7CEF19385C57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BD094E2C-0F92-4637-A0F7-90871B86B107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6E915F19-E877-43C1-A5AC-3B4822D5914D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15516F67-D864-450C-9286-F2CD3FA05528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C9B8AF6F-9AD5-4395-8715-F26FB3A260E5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7CE37244-26D2-467B-AAE9-38F0C6B954D5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1B517BC1-7F73-4FD2-874A-BA069BBFEAC6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FDB2020A-2593-4E39-BE46-CBFC0A2D0ADD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9B5FA9C6-AC38-4578-AF02-702FFC0FBD17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B5F1C494-6060-4A3A-9C43-4B667297454F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F9D8DE2B-0C0E-4986-B184-18CB959590D5}"/>
            </a:ext>
          </a:extLst>
        </xdr:cNvPr>
        <xdr:cNvSpPr txBox="1"/>
      </xdr:nvSpPr>
      <xdr:spPr>
        <a:xfrm>
          <a:off x="54102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3ABE2290-EA5C-4510-9E6D-6A51D325A127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E21AEE99-8846-4EFC-8BC2-A3E39D49B217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6728CAE2-BA23-4DF3-A664-C0D88A3C77C9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56A21C24-1AA0-4762-8A8B-1C0C08A6BC5D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EA08B46B-2614-4DBA-8744-18741B27CFBA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19D7F468-F72D-40D7-8BDA-1ED84BCE2588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56A47CAB-6472-4C66-9A26-9B086CA539F1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D549BDF5-A577-4AE4-AAE7-1730B257EEDB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1A70185D-0798-4BEB-8D3F-00D4016E120C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26FBFD23-3BEE-43FE-A8C9-1E6CA4C5C8AD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B41EF504-C09E-4B8F-87BF-C0FD069AF45F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7C195E88-EEB7-4FC4-A26B-471EE95C4CC8}"/>
            </a:ext>
          </a:extLst>
        </xdr:cNvPr>
        <xdr:cNvSpPr txBox="1"/>
      </xdr:nvSpPr>
      <xdr:spPr>
        <a:xfrm>
          <a:off x="54102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B66575A9-FB63-4CE5-908F-5B3F033AC2AE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3810272-AAAD-4943-A1B6-D1856183614F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B5A92686-5B6D-4C6E-B3A8-FC926AF9F041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FAE6A6BA-8EAB-4CAD-B5CE-FB92C64E2555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244CE3F2-D293-4F46-A250-7F9803A7C838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94E04357-4C47-43CD-A4C5-1F974E4F53C5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E971391B-70FE-4150-9341-4826F949D950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B8F3C26-33F8-4CED-9413-5F395A5B5E31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17F7768-A1EB-47A4-965A-BB3A093E9A90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3D5C0E42-C166-463C-BC9C-6FC854222C57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6FC074B-FE95-4868-B96E-5217D1342FD8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2003D15-B859-4DF0-A039-70AB41B0C23C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8F3DBE3F-1DDB-47A9-87BE-4ECDB16F0329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28EA6AC0-8E2B-42C2-9FBA-E997ADDB83F6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23AD4C20-25E5-481F-823E-98BDB3F08405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C18B7418-7CF2-448F-AEEA-E48EC572EA6C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8EEF4F4C-FDF1-4B3C-95B8-DE99DD03EAF4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83F4A405-15B6-4B74-9567-5A37FA784953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12E627DE-A766-4D68-B850-59A17ADB24C1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972ABF1D-7F8D-4731-B403-4D2B9DE2E844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CAB56EF-41B4-4483-A6DD-7E210376613E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ADE21D25-56DD-4BEC-A280-34F7BAA16AD8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FFFFEF8B-94E9-403F-AA1F-9D8102A9C8E6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C4FFC957-625E-4887-A25E-57086897B6F3}"/>
            </a:ext>
          </a:extLst>
        </xdr:cNvPr>
        <xdr:cNvSpPr txBox="1"/>
      </xdr:nvSpPr>
      <xdr:spPr>
        <a:xfrm>
          <a:off x="54102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09423BB-EFC5-486C-8797-4EF73935A979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93621B0C-FB58-4BD4-A13D-DDCFE5EF0C21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D466C510-ECC9-4D2C-B95D-5E2AF08466FF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92EC4141-4CEA-4B2B-A9F0-35C0FE20827A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1C8E49AE-1987-45CB-9023-6B0DA22EEE25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C87CC362-4939-4EC6-A5A2-06FBD9F526F0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6806CE0-005A-4F63-9AA2-C21F9120B106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98B4B282-DF36-42D1-A8C1-8C488450A834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10A24BAA-77B6-43AE-8B38-92A8567AFD3E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94A72455-E48C-48EF-82B5-3F408C2720A5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1396CF0D-2ED5-4AD6-A5CA-2ABF338A5EFA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5EA8CA26-8B5D-48F2-BE3A-2A4B9E53E1CE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9A4980DB-72B7-4ECA-A9A5-CAF5EF4C09BD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FBEBFFF2-4CFE-4F9B-A03B-206EF61138B1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F9121592-7888-4B5A-8CE4-F1C93B74A383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A207314C-3769-479D-B002-862E5537B400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F249B25D-435D-4228-A1B8-6605C5928828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6CFC7032-0D85-4261-AC02-D5C3A13E7ECB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196BD7BA-908C-47F1-905C-AC73E8D8B265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930E26F9-3FE7-48DF-8188-139DC4E42FE3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15E38B17-A0C3-4E6D-9720-92FA440F6DED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E86C024F-9FE2-433A-8476-B17FF4ADB25C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37379CC8-D9EA-487A-96D5-A232D55C6EAB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CA9A539F-D64F-40CF-B2FD-0C7E9F083B37}"/>
            </a:ext>
          </a:extLst>
        </xdr:cNvPr>
        <xdr:cNvSpPr txBox="1"/>
      </xdr:nvSpPr>
      <xdr:spPr>
        <a:xfrm>
          <a:off x="54102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786C22D7-FBE8-4A99-A4CC-13317B943290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DBDC8767-8D29-4F2C-AEC3-4C05AC19DF8E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9D07D5F3-7963-4E4A-B5D6-C268E65F99B2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2BA5E984-D842-4486-92D2-66AFC2D05101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6EC4D87E-408E-4707-92DB-E8BC73036A8B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34F90717-C4B8-44C5-8FDA-0FB2F23745E9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812B8043-F87D-42C0-BAFF-23A44C199623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3295A98A-5618-4D4D-AB31-8405074012F6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CB67E2FD-C5E3-4DB9-A49D-C4F9FA3F47C1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C257F4C4-6864-4984-AC3F-09AA4661F7D6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3B39CE45-59C8-4DD1-A33F-6F299564F2BA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BA169F8E-4474-4FF7-8AFD-FD768A8FB6DE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E859DE0E-68E8-4189-AD0A-C8CA5CB9F17F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D731919D-8D7E-4A9E-B274-A1F0D58D28D6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63B77FB2-25F8-436C-9C50-1A5D5169071D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2105E96F-0414-4E0E-BF8C-50CD5589BA52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7CF07EA5-2D72-4770-9EF4-EB85DA86B640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F31261E2-3930-4EBB-87E7-DAC7DC9D2535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9A59B095-627F-4FCC-9982-F42DA9344D37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95E92C21-8681-4073-AD3E-39821565A9C9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13B283D3-47A8-4A9D-A3A9-679AD2B4DDBB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6AB467E1-B25D-46A7-8BCF-43EF078279DF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79EB687B-05AE-46F0-A766-F4A8ACA185E5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81613F00-B504-43D1-8CE0-7EB435A13F87}"/>
            </a:ext>
          </a:extLst>
        </xdr:cNvPr>
        <xdr:cNvSpPr txBox="1"/>
      </xdr:nvSpPr>
      <xdr:spPr>
        <a:xfrm>
          <a:off x="54102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44CF5F58-61F5-45C2-A1DC-5A73BE171216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62A537D4-8A5B-4DF0-8E0E-4E53E6D7D239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BA890EA7-F23E-4C9B-B080-DC424CB53511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8AC293C1-3891-40B0-982B-2D7E2CCEBA0F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A4C4CAC0-7829-4E82-9263-F34DC8EC0813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458F0D6A-D72B-4153-9CC4-7C928DE649E7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33AE3BF-D3C0-43D7-9D55-EE3D0892C222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4D232B2A-0798-48A9-91E0-64B2B942367B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6BFF906D-E207-4409-80E7-F745D6AD65F5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1603EA31-2159-4927-AEDC-ADE67D199EDB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B2C99CD5-CCEC-4F52-A6ED-3319E56D89C2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7D5A4A11-6A79-4114-A0D8-A417CFE7D86A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F32C4154-59EB-4CE0-8948-AC18F8EBF199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EC418B51-EDF9-4379-A3A6-D145B5D95257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8F1608E-F151-4F6F-A8D2-F41531FBB1EC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92CCA87E-EECD-44A5-93B0-618CF3738EB4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26F5A1D0-D70A-447C-ABB4-18410B3CCE34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D105F6A6-E06E-4F9C-968E-0BE5097FCEA1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5700D05F-6F31-48F9-AB37-94F106F9B41E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217DE94-9189-4106-A3B9-84554CEE72F3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6316765A-1A27-4B91-906A-DA483A25A9ED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9D9BBEFB-EFF9-4049-AE92-1F762D021A2C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763AC839-56F4-48D1-BF51-94B4BF12CFA4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E8CF5E8C-5CFC-47E8-B060-139E7444CA0C}"/>
            </a:ext>
          </a:extLst>
        </xdr:cNvPr>
        <xdr:cNvSpPr txBox="1"/>
      </xdr:nvSpPr>
      <xdr:spPr>
        <a:xfrm>
          <a:off x="54102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F70E1923-FEB7-43CE-9790-6C5C14B9067A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7643872F-FE47-4708-95A7-F434CAACB967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FE33FCC-6D49-4CBA-B747-65D127CAB587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200CC9AD-EE91-4B85-A948-C52831CE5429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46CDE30A-4817-4319-908A-BAB0FB148082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F7C06FE-03F4-43AB-9A61-30FB4961B892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DDFFC7B-E123-45A5-8762-CAB341A314F8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3E2E7E4-9923-48BF-9DB5-9B96FDFADD5A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557715DC-B699-4272-83CC-10A659BFC466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6817BAFC-C6B7-4044-930F-A53C76D34F4A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60A80349-C42F-46F8-A51B-10E3C7A85FB4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340C3040-ACE2-4102-AB5B-0FFA8472488B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0329FA8-23A7-4BE8-B848-3C61B402AED9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155C2456-E1E4-474F-A101-DBADCD740DC2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6B44C8D0-3509-464F-A0C7-38CA0DF731AD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368DF3D1-FFFC-4BEE-A4F2-70D878B90BA7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B3880B55-13FE-45AD-9C99-2B5F27374EEF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B781374-F2BA-4BBE-9678-9459C06A0E16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E7FF476B-9081-4A1D-ACB2-8CA7D99E7D93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1EFF7082-75AD-4288-918F-6975F24B815D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5410C72-9C2A-4ADD-A77E-1FC65E4F9176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C22F35DA-79E2-4E5E-89D0-F7436ADCC21A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4FDB382-AD43-4A9A-BAC0-747F423C9633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461C19FC-5DD1-4AC0-A1BA-7FEFF4CD90C2}"/>
            </a:ext>
          </a:extLst>
        </xdr:cNvPr>
        <xdr:cNvSpPr txBox="1"/>
      </xdr:nvSpPr>
      <xdr:spPr>
        <a:xfrm>
          <a:off x="54102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FCD78F29-4F8C-4ECD-B4E3-CA0E5E017159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642FE420-F5AB-4E7D-AA05-73C0B05B53CC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B59D077B-315B-459E-9891-64705699F09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B554BFE0-3351-41DB-99A1-E04580F4CBF5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189A189D-A691-4759-A515-F6605BD65573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4C1D47D7-ED8F-4CC2-838C-F65B5A7CE78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67FA9251-9FDD-4E06-BA16-0B731F17C044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2AFD564-89DA-4E2E-A1B9-924347BDA8B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A9EDB815-022D-4F45-AAED-35D38EBD622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F22DD5F-9353-4D22-A06E-2FFD23A3661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F59C1753-8B66-4127-9B71-CE45868E7A0A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ABF19B66-1445-427A-825F-56891699EAF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284A7478-4A01-460B-85C0-A516D8B339F6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A9C30551-7884-4614-92A7-448C457F0C2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9625D166-1B9E-431D-80D4-AABD76BA4633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B17F556F-E371-42A1-9E89-1AEA1087D1E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356671C9-1AFE-478B-9C2F-8C80519309C0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AE9C8002-98BE-4B19-9C6F-74140FB074E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9ECA1727-3889-45C9-AB7F-1BA26520595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9FC70AE3-8560-40B8-ADC2-2CA5295B18DA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3BB41F68-08C4-4684-82BF-17E2AFA176F7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1C99D034-253C-4E69-AF19-0C13033FA254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6DEC2BB-AA8E-47C8-9636-99805C201BA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A5182644-EC99-4140-A28D-5EDED9DFA77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6C45BF9C-98D2-4740-8157-2CFA35E5DE0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1ED96854-9127-4F70-8A49-2600DB9A475E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DFCD1A26-C09C-41FA-B851-B8531AA75489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C6BA1210-D152-4108-B52B-FCC8B53CA5B0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499BAC93-7E65-4975-9201-63736204E886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EEF3EA1E-5665-4163-AD93-E2EA7C996A4F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B8DC7C3-2C45-4A0D-A70F-5BCC96723DFA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FB035B60-E3C9-45E6-AC6E-0B048953A8B2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2E5924AE-4F8A-46E8-BB77-32A2CF2A2FF5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3E68F891-613B-4766-8AE0-C904D97710BB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2C845FD0-F99D-41C5-9EBD-FF105CB91647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FE1FD436-3125-4D9C-B57C-DFE95603D2B5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44C09526-7D4C-4474-9163-79021FDE88EC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D53EF018-293E-4E72-9DE3-E5EADAD99793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8EC51C4C-06BE-4AC3-95C8-5C60ED5A1118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8234D95F-4491-4CFA-9855-8518408F29D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A8C17724-99B8-4AFD-86EB-DA37208E04DD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85BFFB08-6254-449C-9C05-2C69192FA4F3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D4E009EF-8A47-4140-B637-5A6353E92172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CFEA136C-1EE5-494E-A6EC-A2D882CA4649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6C79D51C-909F-448B-A636-30EDA93CED31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313D360A-D99B-4B8B-ADC5-A6D372D77626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B29910BB-C7A7-4819-AB46-5DC23114323C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8242C8D4-FD90-49E3-B616-64B9C1F8CA06}"/>
            </a:ext>
          </a:extLst>
        </xdr:cNvPr>
        <xdr:cNvSpPr txBox="1"/>
      </xdr:nvSpPr>
      <xdr:spPr>
        <a:xfrm>
          <a:off x="54102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49A7DC9D-2D23-4A63-AA36-597C787923AA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A6B7C36-6183-4C4E-94E2-4F848EE3D50E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7FC5515D-8EF0-4402-B6D6-A338EF5BDA52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1726D81F-FC93-448D-AC74-E28FC3C3A47D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2574F25A-93F4-466A-88EF-48FD842BB5B8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2FE22B4A-1641-4474-AB66-7C8F658E0652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A8E5DA19-8E7B-400A-9633-4447A863D99B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8386B79D-A824-42F7-A2DC-F6243680D9FC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41F0C117-4FFC-413F-A662-5672EB3D74AD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EC2814D2-4581-4479-A230-D141036D074A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1BE9B931-2390-4037-B337-27BFB641A9F8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F10F51D-851D-4F51-8BD2-D05D6D51BB30}"/>
            </a:ext>
          </a:extLst>
        </xdr:cNvPr>
        <xdr:cNvSpPr txBox="1"/>
      </xdr:nvSpPr>
      <xdr:spPr>
        <a:xfrm>
          <a:off x="54102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E92127AA-6A99-4F97-91AD-6549C032C954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6BD3CF7A-4D65-4291-A1BE-D6A1F60EF65A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17CABE10-61D1-419C-805E-ED31538173E5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792FC9DD-63BC-4B9A-9762-E1A922319BE9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3BA2C094-C217-495D-9221-7B00B55C68B2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EDDD05EF-058D-42FB-AD61-3ADB1A82224C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9018AE-5716-4830-8B5C-B1C49FA8FA4F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0599160-641B-48E9-896A-881CF5C57CC4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676F40DC-FA45-4290-927C-6DFC1F613410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677175AA-3A86-4198-99CF-22C6DF1338F2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8A2E34E8-4A82-4A6F-BF74-72557C0AC2E5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D6B7F219-D11A-4AD1-A72C-6267E0D35F1C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79A4C384-674D-4A3B-9C82-0D1027658F5D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960F9B55-EBF4-4837-928B-DB2062D16360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5611A6C9-FC60-4E16-AC7B-D858A267A018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8A582A70-59BE-4C4B-B75E-F639A990DAE9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32319224-046D-405B-83AC-61FC896C4A9B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8110FF3E-6B77-4235-9456-97F04770EE96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D6D94663-98EC-440F-A4AD-9981D9540456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518D9695-5F48-47B7-AD3C-49610366F821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B187F4CD-9F43-4C9E-B6BC-15079D45737A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7DEDAFAC-5B5A-4741-9021-5425D3F9E7AA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23E410B5-8F5D-4B8B-ADB4-FAFC62C55850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47A3C415-CADD-49BD-9128-F7DCDCF51035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CFA68ABB-FED6-452A-863C-C0D0FE608997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F3A58E36-3ABC-4487-8B25-7890D8BA4F59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56BC3149-84EC-4622-998C-6482D6BE3950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ACF59754-A83B-4689-9902-68E4D101FC0E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2331A333-DBCF-46ED-A5EA-A9F5D687CC1D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AB6F74DD-B066-4974-969B-D3FA6EA6B78A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EAC343B7-FE93-4F3F-BCBE-6EA38306AB90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D2864633-BD41-44C0-AB3C-66B7574EDA90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610E2FB6-49C5-40EB-9F75-17501CEC89E7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98A015E2-F59B-4BCC-86E9-66436BCEF89C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4C58B79E-F499-4C4F-8DC0-E70B7E1419E2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5AE06150-29B8-45E6-B8C7-240A45E1505D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DC144B54-5FD3-4415-8E37-39D742B4400D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23B27C47-ABDE-4326-97F7-755457EC4903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D9D2257-E868-4E59-93DB-36EA3F0E68B1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80DE41E2-45B3-43FB-9BBF-AFC81219FC82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C5907CF9-21F4-45B9-BF5B-80935D324234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D6C531B5-2A17-41DF-8FD6-68CDA81731C3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19915F1F-C6AE-4AD9-B800-960445596066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9C607471-4E99-414A-BEC3-7E222B9DC42D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2625F0B-1833-497B-BA07-D3A745DE359C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61B8906F-D2FA-499E-B7F0-4260D49F61FB}"/>
            </a:ext>
          </a:extLst>
        </xdr:cNvPr>
        <xdr:cNvSpPr txBox="1"/>
      </xdr:nvSpPr>
      <xdr:spPr>
        <a:xfrm>
          <a:off x="3438525" y="428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59ECDE93-FC21-46FB-85EA-AED5F244DBD6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744E9045-3B37-4747-9DB7-55162696354C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11482792-97EF-4179-84A7-C8DE468CE4C9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A63BCB0E-3856-462D-BC96-1C58A1008DFF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1B3028C-743D-4E9D-99F4-9D115CB7792E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6B4E66A-BFE2-44D3-AEDF-342C1233AFFF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BF422147-4979-4659-9F66-505210B609BA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CA2C3958-F56E-49C9-84A4-CB3DC86B4CA9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E89F37CF-BFF3-41A0-9124-F8838B927BB4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2845E075-0FCB-4EE8-A412-7DE9EBD0E90E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B6BA773B-3891-450E-9052-CFE486879300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E98F0EDD-1131-4F0D-AB80-D2702B5C22BE}"/>
            </a:ext>
          </a:extLst>
        </xdr:cNvPr>
        <xdr:cNvSpPr txBox="1"/>
      </xdr:nvSpPr>
      <xdr:spPr>
        <a:xfrm>
          <a:off x="34385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BFCF56BF-1156-47C7-A24B-335F8A8B5174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41977D5E-457E-439D-B746-65C4785E0437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C8FE711D-B50F-4D97-8269-E6A58E71A66F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C3262632-432B-4407-AB6D-B8D89A79CD76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28A41CE6-9A5B-4CD3-A71B-81670A5986C9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FEFAA02C-8A05-4735-8166-93294BD62EAF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6C204D83-9461-4DED-A262-6DF8882E3AF7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EDCF078E-5573-4E03-94A9-A5BB442C43A5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2B14DA7D-BEA1-48A4-B94B-ED8681A5271F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FD8AD0D8-2D52-4AC5-B6A9-F8F3422D2271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40C7E673-9F45-4EF7-8B30-F75F91E1A03E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ABA0EDE-8272-4576-88DB-E8F3A601D2A6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8C673C75-C980-4D52-8C2E-65639E9A9A52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351AC8F-B8E1-4433-80E6-FA59801A616D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C12F9858-30BC-4292-8A35-5A9FCCACE770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6C11A351-1D3E-48C4-A61F-F8B5B5A5C230}"/>
            </a:ext>
          </a:extLst>
        </xdr:cNvPr>
        <xdr:cNvSpPr txBox="1"/>
      </xdr:nvSpPr>
      <xdr:spPr>
        <a:xfrm>
          <a:off x="34385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AC450A02-E1F1-4EA6-AC74-3E255292CDF4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B562BDCF-79D3-4CBD-B665-F806DFB0D38B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9FE835AA-E895-45FE-B4FD-F14E3D3CAB4C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BE5F5AB8-1DEA-4921-A099-744C6AD0A6BE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8F58FEFB-88D7-4F6A-AF67-782185127E82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285E5890-2F80-4F1A-A8F5-915F647B5C47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77CCD5B0-27E8-4EB8-986C-37C99A6ED4E5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85821E4A-C7D4-4AEE-82FD-261E443D48FC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A44DD047-3B47-468D-8C91-035BAD148173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7D1FA84B-BCB9-4F1F-A2CE-E556645208CF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B85DC005-EF22-49D1-9ED9-50510C7A1445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6001C56D-E78A-4546-9544-8BD69CD3BC1E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D6DBB5C3-59D9-4785-8874-8977796DB00F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F630D4BE-4573-4A38-89F7-65D7A80B3BA4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7620AD90-7FD1-468E-9AAD-93E28D93912E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2C8BC2D9-2B24-4ABD-9E0D-EBEE300585E9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B2DCF9EF-21EB-474C-845C-FE40EE6B97B0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CA36FCCC-6EF1-436E-8947-9006C121A353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791554FA-CD99-4BC4-825B-7639AFFE8C5D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F6E3D776-1A74-4A66-B605-70A177052528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48B76D95-3FC0-439C-83C2-25E31D958F22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3A6DFB1F-CE0F-464B-A529-683C5EC7F678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9E9262FD-A43F-4158-B1F6-21A1DEB04C45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2DB98202-1C82-42D9-AEC5-EEAD74152954}"/>
            </a:ext>
          </a:extLst>
        </xdr:cNvPr>
        <xdr:cNvSpPr txBox="1"/>
      </xdr:nvSpPr>
      <xdr:spPr>
        <a:xfrm>
          <a:off x="34385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791A2289-10C0-441D-8D0E-BFDD11C77904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C2AF83EF-7341-4EA0-A428-FB8114253227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46F7428D-E652-4BB8-8439-28B95C56F618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2492C8E6-5A59-4877-801E-1EF31F4C0927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17E12480-3D71-4035-9800-339DDC371C53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9A0DE14E-37E5-44DC-AE49-5403F97F3A02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C50A52C-254A-482C-AEB6-D7F3B2C75E02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6139955A-C3D5-467E-9101-F280B4CE49D7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506C59AB-F5AD-419D-A429-6F1B0C267960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3FB0AB7D-25F3-4F49-90DB-97FDFA684A7D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7B681FBA-757A-41B3-BE08-8B43CDA50B28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E0DC8FC7-68B6-4A58-B1F8-AFE4E9DEE980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82C38377-1331-4A2D-9BD4-52520A181303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73CCAFB7-5A6C-45D6-988F-7D878D849E62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CD8D2A7C-5572-4D99-A88E-14F09CE25735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D7FA4C8A-4617-48E2-B507-824CC7633983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1CD3A33B-C8E9-49FF-AB17-A4B3CF74D3A7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7A88BDC3-BDCD-409F-B264-4D411863438D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4C246844-26A3-4757-9A4E-A4872AAD3D35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7DFCB5A2-A20A-48D7-B495-CCB8FE8202E3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D3FFA45C-5A21-425A-AB6E-46873479150C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FA32111A-B8A5-4791-8E3C-56E12A041793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8A62F871-6564-40A1-AB82-99DBB778C064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D4EEE69B-8F46-406F-9F22-0E387AFF8CDA}"/>
            </a:ext>
          </a:extLst>
        </xdr:cNvPr>
        <xdr:cNvSpPr txBox="1"/>
      </xdr:nvSpPr>
      <xdr:spPr>
        <a:xfrm>
          <a:off x="34385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3AE96D23-1C33-43C1-B9C2-96FACE7C3F51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9CD6D142-D8EB-4461-BC86-245CADD8F599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D457D612-34BA-4606-B1DB-69AB27830D44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D04D1DE7-549F-4917-8509-3C3805695ADC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A1FB06AB-D1F4-4432-B629-9A13A804ABC3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DF796426-5755-431E-A0DF-04C77513C8A1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E9796102-F7B8-45B3-A258-EFFD3C938AC4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8F7F4F4D-CEC3-406B-88DD-6EDD68CF4F68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CDF68FB-6EE3-472F-BD26-9A7B4524D6C9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E3FDDA46-53CD-46A7-9639-2CACE2DF10C0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F9E9E183-A414-4B32-8416-6DF308E79B56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AE3B0944-81F3-4B6B-82E7-911709451FBD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988067BB-FDC7-47A8-9474-798FE92DD741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7E536E7E-809B-432F-A9F3-DCE7B6252104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1BB33CCD-EA3A-4D1E-A956-342E71BA1B45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930A28B6-B870-42F6-A644-48D7D8E845E7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9F9339F7-8074-4BCA-97A6-9E4621192027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930171C3-44F4-490A-A59A-805F5D7A04FE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A1046A5-226F-43F5-AEE4-FB14E5D0A133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1103A025-9EAB-4921-B18F-90FC6506EDB1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6CFA6CE3-5AD8-422D-8FD4-D21155814273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46A0845B-B61D-49A8-8769-BD8E61669CB3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28FB54BD-21DC-4425-885D-576F96A806A1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7AE0370-AB7B-4BF9-BB96-58D2CF4F657D}"/>
            </a:ext>
          </a:extLst>
        </xdr:cNvPr>
        <xdr:cNvSpPr txBox="1"/>
      </xdr:nvSpPr>
      <xdr:spPr>
        <a:xfrm>
          <a:off x="34385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A2EEB897-0A49-4F7F-8DF1-50EE08F877BC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C11E028C-1E96-4936-8418-FD86A7D90EE0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56AAFBE9-944E-4AD2-A60F-03FB5F97B5C7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38597A49-6F76-48A3-88E7-84D15AA8CC1A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40C72B1-F336-4CB5-9532-EA544042A054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2807F307-EE01-45B9-9A4F-69B6D0B3BAB9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65C07058-1D8C-4DA5-8E6D-606D53A0A84E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93AC3445-90DE-44F8-9C9C-0202E7F6D187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84A9170C-2CF4-4914-8320-644EC2978B85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A7763437-4239-47E3-932D-80BF0045042B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55EDC290-75F3-45EA-B1D6-109557EAFC2F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366B1AF-9EAC-4BAF-84CA-D4982293AB04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BDC41FB9-0E78-4A30-BD74-F22D344B7C30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E217A4C-4FCD-4D59-AC7B-F3CE32FB2418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67CD5ECD-3F52-4EF2-BBB3-078B8038C6BD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5706ECBE-5C78-45C4-A7DE-197DC9FF936C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651EE725-CAE0-4129-BA37-0C853F900D06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6444145F-6617-4F6A-939D-41D42D139F59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3EF103CE-E25B-4749-A660-903894E0986F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59E214EB-9713-41EB-976B-791A0A4553B1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27C4D0D5-ECC6-4A46-A303-D3E36648E6B2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ED0C0E51-915A-4C66-B9FF-0D2C624478C8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DD5EE885-95B6-424D-8892-9103EB242D1D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437551BE-83E2-415D-97C5-22022665F29A}"/>
            </a:ext>
          </a:extLst>
        </xdr:cNvPr>
        <xdr:cNvSpPr txBox="1"/>
      </xdr:nvSpPr>
      <xdr:spPr>
        <a:xfrm>
          <a:off x="34385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E7265AA8-1B09-4E6A-999D-040EC5E69F72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D3DA014E-DBBA-4C5D-B350-A0984CB0C079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69D6E57F-B9E2-44B3-920F-2D99341E4ACB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F9577A34-6641-4FF3-8C64-E3969EAA3FE1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F76D7D4A-8B63-415A-A476-1BF294DA201E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7F7997EB-AD7C-47E1-9323-DADEF75FAB6F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8BCD6DA8-77D4-4F5A-8BEA-1817AA75C051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5433AA50-DF08-4F57-BDC0-122BB3BA19A3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85C8D748-DF1A-4336-A73B-35EDE0EA6AAD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EE859972-4E89-44A6-BBC9-2A927F62F6B3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C1F976DC-DB12-4924-9352-8BE2081F8807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8512DA3A-35AC-4D8D-896B-71192EA56459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FD0C2774-FF97-4D6E-9957-D772D62A72A2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AF2CB3F6-D149-48C3-B780-0BB3DBAF8D8A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F638AD1A-3633-45A3-9825-2967DB218195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2B8D33B1-5303-4D53-9B7D-A6F080D636C4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10AE29EC-E10B-41FB-B39F-C0299DCAD2B5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9FE95574-27CB-444F-BCFB-0675EAC18699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F550E50-810D-4140-9807-F461F9E0A716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376174CD-938D-4756-8465-781C3243722D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27E2744D-0486-4AB3-80B2-B79E47C54E15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D0F7395D-C268-4651-8D94-E681C2B04AF9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1A9B6E56-1D13-44A3-B6B2-4D5B60999FA7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4374C5B2-7909-42FA-BD63-C13A0F07BD6D}"/>
            </a:ext>
          </a:extLst>
        </xdr:cNvPr>
        <xdr:cNvSpPr txBox="1"/>
      </xdr:nvSpPr>
      <xdr:spPr>
        <a:xfrm>
          <a:off x="34385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EC868059-109E-4617-8679-9B6F57B260D1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B41616F3-22F5-433A-AEC5-59602A077A66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F8351CB-7752-4C15-992A-D91C16405B53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6D855A85-F61C-4FCD-9EAD-632D3535806A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C1DED043-4AB4-46D0-B9EB-9171A997ACBF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B984B577-6F24-43F5-A2FB-5FC8F8FAA182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F48C1461-5E7B-498D-AF73-363C9F85DE42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BF0DE78F-25EC-47DB-9515-4F56CD9A066E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CFB7B3EA-4C60-4AC1-9A95-B16E168FEE7B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FE70EFB0-C781-4D97-944D-A59092AFD551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9056D813-D908-4350-ADCB-26A9D6062CED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6A30455-9D3C-4739-8DDD-F6F7B687C481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803D2C14-FE7F-4380-B913-D7AAFC149FCF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2296B431-1856-4D66-92B7-98C74AFB3CD3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7AF05CD1-7C5D-40A6-981C-5793097BF373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BBD75299-5EF5-47D8-AC7B-27B6C5277407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87395C0A-48FE-4CFA-A470-D18584A09540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5A02F728-9720-4C34-9FCE-FD22E825D512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6CF6F242-044C-43D7-BE76-5D16CF8FF1FD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BB7711C0-1FC8-4E06-8F19-28DBC9A01D37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A89D5A09-2697-4000-B60C-1D307C794FEC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A651C744-39BF-4B62-8595-7221270B708B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76E529D4-91E2-4E95-A1BA-0258D181626C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E2DB8AD7-685D-4E79-A37F-00C4AF492540}"/>
            </a:ext>
          </a:extLst>
        </xdr:cNvPr>
        <xdr:cNvSpPr txBox="1"/>
      </xdr:nvSpPr>
      <xdr:spPr>
        <a:xfrm>
          <a:off x="34385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D376A1DD-45F9-4649-9DD5-78495D3265C2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F7D18E95-3AD7-4BAF-BD4F-BF60E89F83E7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D431EC20-3883-4DE1-A752-3D36AA6CD6CC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34DE4DDC-C26D-4F86-B546-7682080B400A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81DC669A-3BE9-4F92-AB08-D5DACD795982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867728C7-3E61-419E-8A80-BF9619180BB1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D0C523F1-EB88-4DA4-8417-1AF71A8390A7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1DB95C8B-AE5E-43FA-A6CA-F9E92A49C5F4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BB77645A-D39D-4C80-92FA-8E97CFB0BDB5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29C24CF-F575-410E-8D17-4FFE1F0C1EA6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EB49B5F4-369C-4240-A53C-463BD4B65658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B45962C-C276-42CC-8FDE-68D5B499891F}"/>
            </a:ext>
          </a:extLst>
        </xdr:cNvPr>
        <xdr:cNvSpPr txBox="1"/>
      </xdr:nvSpPr>
      <xdr:spPr>
        <a:xfrm>
          <a:off x="34385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35BC8758-62C0-4130-A90C-9430C1B7D3D2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79DDD558-6C43-4FED-AC6A-3AA30BEEC2DD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3C3E36DC-E958-418F-8F8C-DE4D68CA6EFC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DC50518F-411C-4A72-8BB9-F3F5A2A0389F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7FE4461C-8CC4-4748-9E7F-3C8BA8415551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DE4B7694-5E57-4FDC-AA14-BFA3A81283EB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22D0C82C-7989-4660-8C5C-DFB7BF2AF015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CDC34617-FAF1-4EB1-8897-C8DFF1C8DA60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4B944181-A8FD-42B9-A240-D09533698755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EBB732CB-6E19-4D93-9717-94FD1FD5AECA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C5F13763-62C6-485D-BF82-F4682675215E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BB3804AB-0363-42F2-B7A3-B854177AB159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E6CF5A4A-C2B6-4427-819C-A51ABD927D3D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BC0E8D7F-3AD0-4BC5-9F70-5FCB5EBD9E48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387A8B90-67A6-43C4-921A-D7671311B281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2257011E-3EAD-4E39-AC35-52EABE4AB1BA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68724335-3A41-4959-BD21-431C15C5D8B3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64184F71-27FC-4754-8F91-DEDDCD1DC9A4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BE3A324-C977-4C1B-8F70-8FDA640635E6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2C0D500A-BCDB-401F-9541-33F8AE5C84D4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106FE0B0-1E16-47DE-BB5F-918790A9211C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904DBB11-44A3-409B-9698-B3348CC5F54B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EA856EF9-522B-4ACB-B26D-C2D733606812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1F278502-D75F-47AD-AAD0-A42196FF33DA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DD18E078-A31A-4A2C-B7C3-C2CB7F25E865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4F456E16-9B1C-41BB-97F7-1B1C8D8947BF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B037667C-A1F0-4837-ACF1-6FAD69DAFCE8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D2EC7511-BBF0-4C84-8CDB-38C1A6E4C45F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11505D62-93AC-46BC-B681-72873B958C0D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F40C3454-41E1-4427-842C-B1FADA9B778D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BFD9C17E-A51A-4775-A00C-3BF565C7218F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39C7AB08-FB72-4000-BA6D-20D79132B853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F8FFA85-3DB4-4F82-AB5B-7F6DBAA42913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DA110122-777F-4992-ABFE-20D31BBF545E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ED417C61-2715-4210-AC6C-0D0F8D8FA8A0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A13EAF0E-A8C8-4756-B6B2-4C8BA663883E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CAB1E0E5-933F-42A2-BB23-CF39E992B97D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6E8BFCB1-292D-483F-90CB-07A602B75EB3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FEF3F60D-002E-47B1-89F6-5F88AD0A1937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662B540E-1485-460E-8AEE-681450B531D9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3E2CD430-E967-4C03-9759-1D861379181E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5CD6552F-413F-42AE-8F56-A1229A62F937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49AC9F9E-B925-4236-8470-D0DE136B18BF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740989CE-6A47-4F98-95AF-0FE85EA8F841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E7CE1198-E981-4AE6-8216-A3DBC8DDDBF1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D177F50-A5C2-4242-AD1A-54411380FB2D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29304A9F-6186-47EB-B808-E5BBC0A58A90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FF8DB57-B30D-466B-ADAA-DF3FC19B0654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639F6D84-64D6-4E3E-8E25-CA1BB77CDE78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D9BFDF2F-21C4-4062-8556-D1F0E566E49C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A42B81F7-FD25-4833-AC83-878FD7A20C16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FC0CA20A-30D5-4EE2-B7DA-6EE58013DDEC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5D9B159A-3AC9-4620-9CB3-3319D1B7D89D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3EFA9C87-3C32-4F67-B50B-93734BFB7430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7C01817D-1E48-4DA9-878B-76727CDDF0E8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C1A25365-273D-4856-8C14-210AC581E515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4AF0CB82-74D0-4EEE-A594-50477C15EE73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84D0672-AF23-43DA-8033-129B32F60732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89C51FD4-340B-42DE-ADCC-3271E6FE34A1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6996B7CA-DF18-4593-9DBD-D1E41702D792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91762A93-B515-4A59-ABEF-1559AC17B885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2D372A5E-AD09-4B60-8F23-2E0CACF265B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6A36E958-4BD4-4E66-B4AD-6E150141C917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2B116603-9F33-4670-809A-E31B6ABE7AF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4CC020EB-20D7-4C7D-8F3F-F22F0456321F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6446A66F-7267-4B81-908D-C2DF0A170611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19C7B489-2C3D-4564-8AF8-20954C398761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E1934C22-F6E3-4510-9445-4ED1AF5EB33B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9D15E70F-0957-4BED-B4E2-726FECCA6531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907BDCF6-9FD0-4C3D-A081-F9E2BCE9063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A10A66E-422D-4389-8087-75A70773EBCB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842D14B9-1B60-4B38-BDAC-4262D4A990E5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64043E6B-A46D-475B-9484-55BFCC613283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EF7477D0-C536-4900-A41B-87BF6BDA3E2C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C68322A8-43A1-4B94-AD50-2DCAA6B1141E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B3D451D7-49A0-4F39-AC90-5BFDE24BFBA5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66570469-F633-4C14-A497-3CCF59C28D0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B352F07F-39F6-414C-89BE-D45A5B5BE98A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77D27C8C-DF1F-4EE7-AF1F-507596A78997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791FE1FE-2400-4146-BA67-A82619CD466D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A8696BFF-8263-4D79-B0EF-033EE05A69E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2001AA67-C265-4BA5-A0C4-707AFB6DE9DE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7C1E221E-598D-4CF5-8B80-51B1F080DFCF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AF35786A-0CE5-48BA-9324-1581792920EC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17A5A99D-4EAB-4F91-9225-2271314D8D0C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7F1EF90A-E5CC-4257-99C9-48DD9965AEA5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2BE53E7-8AD4-4459-9ED6-5BFF70B7BF85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19FFDC44-74F7-4D78-AD4F-4262A7946C18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901D7F47-700C-4EFC-AF8A-17377FFE63EA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2E8309C7-E933-4166-94F8-39F44CDF4DB1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C2AD5EC7-7160-4121-8CC4-D3166DA6C97B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4291CE19-CB16-4FAE-BE95-16FAD4159427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766F8D70-1000-46D6-B4AB-B1168683B1F9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56DBFB5B-4AF5-483F-AC2E-0A5A72F8D839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2EE8C042-CD7C-42FB-B7DE-6C0DEC7F8C2F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BDCBE205-3455-49B1-877E-729C0229682A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D2C08045-FF3B-43F4-9447-B3E4243A0D77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C06F980B-740B-4E64-9840-6BC53A25BDB3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9CEB2507-11F5-4F03-BB8B-6EC247750402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698672F-1193-4CD3-97DF-D7AA772DFF91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4C2E5E0E-E734-4CC6-95CF-5B317C59C9DB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E47F8A6E-0A51-4066-BF61-8E3330C9D524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A74FC70C-60DB-4278-B541-44C9F928EB9C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8E056AB4-9496-4503-BEF7-384B2216A69F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E42D6B25-B989-4126-9A13-AF0B26B3B1CA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EA16B23A-90F1-4E0E-8854-2F5B12BCE2BB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D25AF4CB-F018-4940-89F0-2CFD2DA5552D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ACB821B7-4F34-4B4B-B534-67730B02AE7D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AC8E2784-5482-4C34-9DEC-E29BC4F94901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CE2089ED-5C13-4631-BC73-A0CA1DF426A2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3BBFB0F9-93B0-4B31-99F0-ECFAA210EC21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DE391C65-9673-4B74-8E2D-C250A22FED9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4BE96B22-FC81-4D0C-AE59-D58A4D44957C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B6C57A25-E56B-432F-ADE1-A88A5A505116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1AE25B20-96DD-4BE8-A3BA-BB1F2BC6854A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5223E3B3-8309-4A71-8ABC-DBD84CAF98D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23B87E2D-D537-4A24-A8EE-DF98F4539002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EC09E55-6DC2-42BD-9F31-0DF0DC49169A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70B4686C-5FE7-449B-B39E-DBA93535A5F0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BCF3A0C0-D381-4BD0-B827-0AF6C20B7B2B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57F58B71-CC4D-46F5-B4BC-3526F04A31FE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7A15B09E-8ED5-4B2D-A3CA-E735F8965DC6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4CC794AD-0E58-4B54-A69F-E15D4C7C674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BBC65EA7-9E31-40C0-AF97-9F48E60DA72C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680076A8-F6A7-4C17-9823-2DC7DD798FB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29A575D9-5877-4F0F-BB95-2A64BEB26EF0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C9D84DFE-F7BD-4DE7-9179-CDF58F952B47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1087627C-692E-4F81-986D-7AF37C7D812D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BB83B6B6-5BD9-485C-851B-3F360410B0E1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BB1F014B-95C1-4B66-A91F-4CCCFF18C00B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537BDB62-F7B3-4390-ACDA-27E25B6B03C4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4E7F1BCD-5AB5-4ACC-8B1B-87BAA0228A2C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9BABB5DA-A9DE-4543-A4BE-8C690246B65D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2714656B-4AE5-45D7-9449-AF5CC15F34D5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FB82A0E9-B31E-41C1-9E6A-AF28A216D18B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B4182217-1D86-4554-95FB-D03BD63C026F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9A0FB817-F1BA-4F3C-AE19-CF83828319D9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7F3CA76E-B9E6-47EE-81D9-B21BFBAC9B5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5F0C32C5-A055-4DD6-AD79-0B32742E17EA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2A832DA-FE77-4A39-8BF2-803ED5D9A74A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19D9A45B-15F2-4C47-A74B-53A427B34E31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7ACFE251-3757-4D00-B661-1F7C4E7DC12C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FB246AFA-1C13-42C1-8BC8-3EF2A8D8254E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8E264550-9DBF-4EB7-B885-B736233CD895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307C6117-BB9D-4673-A078-544599723DCE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AF517C69-99EE-4703-8E46-62FAF6E96A3E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523B63CC-4739-470B-AB63-1B1E4756E1FA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17107FCE-97F2-431B-8137-4FBAF2ECFC61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FB1A2618-14DE-4185-B4C7-37DF8EAFA11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1A20B548-57CB-4CAB-8E80-A937B0EAD02F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42EF6EFB-3C36-4289-8B53-4AD1D8E3A8DD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5CA1618F-60DC-40D3-A8D4-94CE99F5D17C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789E6B7C-CF5A-415C-B638-3A567FA98EF4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A73754E2-3E9B-4DE2-89CD-DF1EDB0BB027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6A02A790-ABDB-4860-95BC-2C1FE1B81783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E881639C-6FB6-43FE-91B2-5E3C62AC2B3B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B9D4093B-68D0-4E73-A0DD-0BBD09D1274A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1912448D-5F94-4C1C-B785-C7C69BFF97B5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CE0F406D-C1AE-4A37-9F0F-534DE5097260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E3CFE0D1-FFF4-4FA1-AEF6-50347A383855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992A731D-716C-4887-B719-CE300C9BEB9F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F510439A-19F2-42B8-87CD-D405B4BA594B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B6338803-5882-4F8B-9BB8-51142CE0395D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B062467B-99BF-499B-B65B-8EFB3AF8BC6D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B3061BC5-FDA3-45FB-A24E-E52D6419525D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E3DF0079-4973-42D3-9174-F9C979ADBB3D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CB9E9EEB-6A95-4EDC-B2B2-5B48B63D2BF9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175F4CB9-DD16-4A5E-B389-5AE32B702C51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988AA746-EDEE-4283-806C-D6AB12D54E81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19AE06F6-F642-4B5B-9013-5FC155D59651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6D10C346-87DB-45F8-9FF5-533E1DD86039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78B2C2AF-1A35-4CF1-82C4-2622A0EA4428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DEFA87EF-AD15-48C5-A8BD-818975E00308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E382FE53-DCB8-4D6B-B872-0C257418C664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FB947D4D-3D9D-4D3A-BF5E-692606699783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33275C12-3331-4D7B-84D1-5F32B6E8C359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64856EEE-832D-4FE1-BE61-610AAD812D36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347871A1-D98B-44DC-9F89-92ED745A1312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81EA0C3F-32C9-4A43-8344-077DE2E87C2E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832A84B7-2A89-455F-9C02-47354E5B7C50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75C526C8-4A5F-4304-A2D0-346F63661A6D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987A7BD4-BD44-4FFC-816B-ED4BD740A82D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4717C1C-9EA5-4752-A38F-191CC442DF4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69F48841-F722-45FE-BBB8-D37F347CB405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4D2B8137-5F4C-4E21-955A-4CD16BE87CF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5A62D934-1758-4F8D-81E6-C67EDF3D145E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37C1B35E-6683-4365-924E-DA91BBA4335F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FB667493-604B-471E-928C-B165CAD0A415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DE5E829C-AB25-4D43-B4F5-B4CEFB425D9F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691AA80C-74AA-4F8A-81C7-3D70DB46732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31FFF9AC-A658-4400-A43B-0C67581DA0E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20F6929B-44CC-4456-AA92-99962BBC5693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D7251547-A63E-46C0-9932-F8525A72D10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706A84C-7CB1-4FF6-B9A9-AAB130033526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4E220DC7-B7AE-427A-98EA-D18D03C9F3A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89790AEC-E8A4-47D6-8279-201E0638B8C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19791D7C-FB62-4273-B5E7-CEECA6D0442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9A6633CF-F0F7-4F08-962A-366F8C1A850D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E4B2AC93-6148-48BB-BD9A-847DFCDF44FD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6585D85B-A800-4033-8B55-A5DFF9491E5E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6C2D441F-BCD5-46A7-B84B-D5DE7C2C57B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7B69A90A-2A32-41AB-9C0E-C9405363201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53114286-C204-4944-91C7-65E87BD2DA69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575CA9B9-1B61-49D1-87A5-3C7A4204A33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7C98FA6E-51CC-4C93-A953-412E2EEFF76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7F4EBC9A-ECE3-4733-8B3F-27DE06E3D0F9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88E0A09A-4258-4006-9CFC-DF466DF6F1FF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CCE71C31-6BE4-44EC-9FA4-1CBFEE895EE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80030E31-6CC6-4A1D-9F06-84706A8002A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3E6C7A19-93FD-4438-A6CF-14B6D3E0D1E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23ACB7C-D43A-490C-9AC6-FA8AC5D6C2E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3CD10D1A-A7B2-4D17-A5A2-F387900033E3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81BF7C6E-F990-43C0-AC77-177CB9BCB3CB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737361D6-3102-485B-B5B1-39F2195CBD5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BB3D41AE-5A0C-4DE2-BB7B-4E7CBCB406CA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BD14A281-104B-4891-AC3D-275A1100FC4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A1AF3618-865E-4D11-90ED-C060112D5F3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3E129718-ADAB-4D25-989C-A70C81DA318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C855DD62-2A1C-4F22-A5AE-31827749624E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F45D3C44-1183-4295-A44E-ACE0C7D6750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DB03FDC6-9648-4A36-8FE4-86A5F3D48C3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162E3FA6-2CFE-490B-A517-E2E13A83449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F2554B0C-D6DD-4D4A-85C4-130E82E9390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85AC182F-98A3-4AF2-88C2-2F5C06B6940B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45AA533F-1D34-48E6-9E8F-DDF120D68D7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FD30794D-16D2-40D7-A81D-FA7E6E9362A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C15D3BFF-D804-4A1C-854E-530E1AD2F657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81AB7230-1584-4C8F-874B-7622BB01602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C1E342A0-58BA-4F69-97DF-66DF8877F0DF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99F630F6-8AD2-453F-97BF-CE7404C47CE4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AB3AD477-AF65-4180-BB85-C52A4EDDBF3E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694F12C3-0F1E-4144-B952-1AEE6273C3B3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92E36F9D-BF36-492B-B50C-A83586719FA5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73C3AA7F-220A-4310-B1DF-CFAA037A5023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79BF9E74-9F3F-4945-A717-518941F8724F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A75F3BED-E7DE-46E8-91BA-73B1A71AB9B6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67A4E3D6-3786-4541-BAC5-59DFE1A8B1F8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165D5F46-B540-4750-BC5E-749C50C92AB0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D833574A-83CA-4293-922F-36F5D3D02B6C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A6E89876-F554-4F7A-9147-1D38F0AE4DAE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87F12162-F847-4649-9B27-EE08351C28A2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3A3C6CA3-632C-47B2-8EFC-D6CA972F3F66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231EDAA9-D62C-4652-B971-756671D7F7DE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82B59B2F-03DA-4FDE-B578-9EC6F8C5B491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74726FF8-F3F8-49B3-BDE4-C12789797F6C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B1FC4D4F-2767-444D-8592-E0173CF2284B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694893FA-5AD7-47C2-8D50-DF7EB430F621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C647EB79-F187-41DA-A3FF-4BECA6A1238C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3D2EAAE0-0C7F-48D6-A5CA-0483BD625029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525FA2D1-C2FC-4A01-96C1-D070BD62F49B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670681-5FE0-4AA1-A4FB-72D08BFDD9D5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50439E5B-CC51-4FA1-9811-8AF74BF00661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40D1D906-E161-4182-88AB-705BC64536B9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CD6E08BF-A2B1-4C41-A3DA-000606DBE45F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F1DF01E0-0012-4527-BF95-5070BC6CCAC5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A9B2D23C-13A3-4ECF-945C-83F2AD682388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71CA481F-0F09-44C0-B8C0-59915D6F8784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ECBBCE0C-7032-40B7-86DD-55AC7077688F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C0F26711-1923-4BDE-A505-DAE306723B21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CA23A87B-5AA1-479D-BD25-71BAC6E010AF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67B011DF-4270-4446-BCB2-9F250344A12A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E73345D3-6759-48E0-956D-F4754F52835D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2FF112C3-32D3-42EB-A4DB-94CB69D5EFF9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2B029A2-F8D5-46CA-9330-8853BBF64D8C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574CA8C4-F4D3-42A7-88CF-553CEB2C7F5C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249157B3-8087-40D7-986D-340AD5607FE2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527581C0-106D-4811-8CD3-75C644564709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47A4A0EC-7B02-4E1E-B046-3A8957338609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471F0ADF-ADF1-4B25-8063-0C5C1D7E6862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2C45C74-7140-485F-9446-79584A37E3A2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D29947E9-C2B1-43FA-9EDF-988B0F45DFB4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405330A-FD58-4AA8-9D2A-56B48F394870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D41D2AF1-F049-487F-8FE6-864B3C9694D6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F632BF42-CD12-4478-90D1-E7A0D6C0398D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70BE5E3B-F1CC-4B9F-87A2-5FD69DF07C2A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FBFF744B-13F4-44C7-A5CF-55800E079E34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8122CA4A-A8A3-4A7F-96C9-D72B66540218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B90C84B5-6C09-40E2-86AD-748E0222CC84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C0E37928-A7D5-46DC-B21A-9ADFBD53BEF3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1B80B278-6328-49B2-B702-18C878B0531C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BE599DF2-ECDE-488A-930A-69FAB633FBFA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A8501B66-0342-4758-A148-CEE12D366D8D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F93C0839-0B61-49AD-AE67-03ACCFC4D1D0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6A092FD-258F-4962-9E5E-381B3270CC1C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E090267F-186E-4FA6-B852-402860B30E8C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48AD2105-CE28-46FB-9FD1-10AD68B4DEB4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D0EAC2A7-5193-49D4-85D5-61284B45B9AC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F1E04848-398D-46DA-AD19-1D34BFECC07E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594E45-4C35-447E-9827-EBAA9E5199B3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A53527E0-9C55-4542-9B56-3BE4137383BD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33FE558A-ABCC-4E59-AF2B-9A3DF6832F52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B76660B2-A030-4890-9E30-067FEE9F1534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FCC225C6-A842-4DFD-95B9-F9C5A7C84D0F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23BB50A7-B744-4350-A722-DFE9C6DC6606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213FF0A1-83FF-4813-A4C8-5576AAC7481B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FCFB9266-3DAC-41D7-873A-FA1415D33FE5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5C0D06C-3213-452B-AA68-C1F382EB720B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734DBF40-B3CE-4139-96CF-DB01C3008A03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26B9C776-DA6F-4D10-BCE1-9625F7CF6A9F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14DA80EE-2E54-47B1-AE0D-2FF7D26D556E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D353F924-B31A-47A0-8663-850B9003498E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523FAE81-7F16-4DE0-9062-83913AFEDFD2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88220516-C9D2-46D8-95FC-2BD7174142F2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7174F0DF-EBF8-44CF-87CC-85C3F85DED5D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49F02452-A67D-4816-B620-872CEC991FB8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ECB572FF-C592-4118-A256-3114F8E20E13}"/>
            </a:ext>
          </a:extLst>
        </xdr:cNvPr>
        <xdr:cNvSpPr txBox="1"/>
      </xdr:nvSpPr>
      <xdr:spPr>
        <a:xfrm>
          <a:off x="3286125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E83879E2-4850-462C-9FB0-7A5F63D37959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BF8328E-10AF-40BD-908B-278D1CC277B6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357AF593-D271-49BA-A60B-7E261B6AB715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D16A513F-A1D0-4B8B-810A-4DBED54FF14C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D9A7DB42-24C8-44BE-9F0C-2332A52317FC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42BFA038-D0D5-47BD-80B8-0A4CFF7CE79C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A3BE2D82-1941-4B55-B28E-4EEEF5578BD3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ADDA3143-1883-48A8-99CD-B008084E3960}"/>
            </a:ext>
          </a:extLst>
        </xdr:cNvPr>
        <xdr:cNvSpPr txBox="1"/>
      </xdr:nvSpPr>
      <xdr:spPr>
        <a:xfrm>
          <a:off x="5372100" y="2843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4B1E23B-D7C1-47FC-BE62-D72BE12F3742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9D96860B-866A-4F08-A830-CA69EF3D91F1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AD523DAB-5A47-41C8-B863-C0B50897170D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5BB5E30E-C7E4-4382-A7EC-88BB103EAD32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83FD55DD-FFF9-4223-883F-306864848A28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C11953A3-13F9-4A30-9615-EED5F01AAE4E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8ECCF7D4-CA80-434A-8DE8-4252B82B5F08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195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A62CFAC7-E6A2-4DD7-A459-37C251E16CAF}"/>
            </a:ext>
          </a:extLst>
        </xdr:cNvPr>
        <xdr:cNvSpPr txBox="1"/>
      </xdr:nvSpPr>
      <xdr:spPr>
        <a:xfrm>
          <a:off x="5372100" y="394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52A376D9-AD4E-4FCB-9598-88E36A19BC6B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9B76EB5D-E262-415D-9E4B-11AD96FA1726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B91F91E6-AF57-40DA-A05C-5B345E6FDF1E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EDA03C51-D65C-4F18-A7CF-C2AE9DEE290C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15B0765-4C1E-4E81-A708-034E11C9519D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F918940A-32C8-49B3-8522-B7BBF6FEB4BC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88DCF543-40A9-4EED-928D-F58B9A297CF8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6324EC73-FC2F-4F2A-80BF-3BA6B1741FD9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C0652176-F0D5-4893-840E-DE02A879796A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4923E5E2-BCC3-4C58-A233-DCFA1ABFA17B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3BD63FF2-EB28-4A84-9393-E3F34A0E9A7B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47BCEA-80D6-4182-94B5-DC5801DF7A85}"/>
            </a:ext>
          </a:extLst>
        </xdr:cNvPr>
        <xdr:cNvSpPr txBox="1"/>
      </xdr:nvSpPr>
      <xdr:spPr>
        <a:xfrm>
          <a:off x="5372100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DD3C8ECC-B335-4679-82B1-B2D43D157FD0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153A535F-8ABE-4CCA-8349-F59708BA6ABB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1756AA2E-B89C-472B-8DC8-60DEFFE97754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AC76A39E-611F-41C8-A4D9-4A1A05374A8A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33B39097-E864-449D-BFF9-CD5B8DDC8DB8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C25E6363-B581-4432-9EC4-689FDF1FD9B8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3AFE3BC3-6DD7-466B-9203-18AA9EDD2871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A2E74AFD-8694-4F2D-ABEA-2BB6A80A08C8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A3FD2295-F840-4F7C-9652-72B1B5A75AD5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63C4E0B8-D776-4BBA-9908-EBCC2AD6A772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ABCC0DA-D6E9-47C2-B52F-572DEE45B412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1DAD6843-DEDC-448D-8E11-CF3C4393F255}"/>
            </a:ext>
          </a:extLst>
        </xdr:cNvPr>
        <xdr:cNvSpPr txBox="1"/>
      </xdr:nvSpPr>
      <xdr:spPr>
        <a:xfrm>
          <a:off x="5372100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99086138-0B45-451A-B054-70C904C0F4F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99EC1591-E701-4900-949B-B5E862B95F26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B0E8A25-724C-4652-BB42-E9BB472F21E5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F699419E-B892-4033-B6E7-36A6FF7562BF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7A2319AA-EB41-4E79-8037-7A2D8837C243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4799D833-30E3-45F7-9913-C440C35D7C9B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620C820D-BBFA-4CF5-9689-868E7C4D6C65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2CEABE93-4333-4CAC-992A-D19FCEF32792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80B47E83-C9BD-4E7D-8A68-52EE21C7129B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9C75C93C-F6BF-47C8-A4BE-C5A7873F74BC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E17B8906-D05A-442C-8DBF-38FD3C455FA4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82507859-B4A2-44B7-B20E-1D522F747319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EDBE7C3A-4D7D-44DC-AEB4-22DDD30940EF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6A6FA64-71C2-43C4-9ABD-32FE124EC456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CBB2CDBE-56F8-4177-AB8E-23D256E4379C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229A344F-CC66-43D7-869C-D6825CCD6DF4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2C0CEA1E-C615-4D0C-96A5-D2777B1E9184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E54DEAFE-E99B-488C-A9C6-2F65BB9FBEB4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D6D067AE-C40E-4835-8D5F-7DF45066ADA3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210F4F18-F19E-43C4-848E-EFB917D710FA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6EC18753-6C25-41B9-85F3-55EB97E406CB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FDA23D58-570E-496F-8F91-B6880254448F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76F572EE-C160-4AD3-A4C9-CFBACAD1C7D0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5D0C3B8-45C7-49D2-B537-F616600B3D52}"/>
            </a:ext>
          </a:extLst>
        </xdr:cNvPr>
        <xdr:cNvSpPr txBox="1"/>
      </xdr:nvSpPr>
      <xdr:spPr>
        <a:xfrm>
          <a:off x="5372100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A5829B2D-8DAA-402D-987D-FD299C0AAF87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5BD0AAA2-5BD7-4BE5-820E-6FEB5788A725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710F7B36-C002-46C1-A136-47E7C9DF5D59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D1C9CD4F-B777-4AA3-BCB3-2240DD8079FD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9E0596CE-2EB9-4183-9B9D-74C55F7ECD9B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DA88E01B-8BAE-487D-916F-834F8AF71322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CD94873F-5332-4FAA-972D-80EB22472EBB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56A3B36D-00B6-418E-9A23-E3FA5D6DDD4E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80DE04A6-2A0B-4D05-B4FB-2E521DAB5F98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53172EFE-7F88-463B-8E39-7D4004408689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B7B120DB-2066-4D6F-9926-257F1AE0298A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76FE8654-D582-4714-BC82-D605D8B12284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F3DB8805-F9F0-41B0-8A2A-A9586484829B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84546C0F-2FC3-4FD3-8BCE-A3FAAF43D578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6C14F6FB-B2BB-4A49-A0D1-0C0D6D68BAD8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A44E7C61-2959-4FF9-A772-F6792007C65A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40EE6ABF-1FF7-4CE6-A094-3AF5F719A32F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3C879790-2F01-4696-A873-A5ACDF29AA1C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DF02D467-3BBE-4044-8FD5-DD3505539088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2AFA6CB9-FD09-4754-9173-68FAA18AB3AF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B6A3F030-C551-4684-B8CA-80406F2A5C05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48C12E1C-7654-48D3-9381-F5B2D4B2F34E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48119FDA-FA64-4B84-97EB-C150E6B92C40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FC4FBDA-1360-47FC-9419-5CB5DD6C7EF0}"/>
            </a:ext>
          </a:extLst>
        </xdr:cNvPr>
        <xdr:cNvSpPr txBox="1"/>
      </xdr:nvSpPr>
      <xdr:spPr>
        <a:xfrm>
          <a:off x="5372100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551E2C4D-85A3-4319-8554-ED4C149F6A0C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7AECCA4B-F68B-41DF-AB78-44627F16D31E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965E3EEC-2662-4650-B49E-02134691555F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EA2EED64-8526-413E-AE12-56FBB3FA971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71A57CD7-4787-4980-A24B-E26295CECF05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78E4951-567B-403E-8BDD-742C8440C9CD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E6D062CF-C0B3-43EB-909B-CAC45D4820FF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DB6E7EA2-EB44-4E85-87FE-3F0F8444C0FF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14D421F2-57A1-4830-A3E0-BAEDCCB3ADF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D834AF7F-488D-4A68-9B4E-893EA5EB3C4F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77B63FB5-61E2-4189-97C2-2F8C4A85C21F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F3EBFCEE-EB99-4958-AECC-AA99360D3B24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6B8EA08D-2D36-4F6E-B070-18A206C59D4B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C3420DED-8943-4FC5-BA7C-6AE0A3854258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2B2983B9-90B6-4280-95EA-27B010F11062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A85C3896-C2D2-44DB-A364-AFA34A3777F2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B746AB69-7F77-4DC9-B92E-DFE33902299D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1721B0D9-AADA-4151-A10B-C943CB4462D0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8F425F85-38D6-4540-84BF-1DCE7AAE9562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EA5E8B98-2306-40E3-A111-B12B417FA131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E1868258-20D5-400D-8B2F-37900E1C5F85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72DC0315-C743-4968-B1E1-1306D9B550A2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1BE75F1E-6584-46BA-94C6-3C5A22010CF3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2C2242DE-C7EF-4D88-8417-297D99C179C6}"/>
            </a:ext>
          </a:extLst>
        </xdr:cNvPr>
        <xdr:cNvSpPr txBox="1"/>
      </xdr:nvSpPr>
      <xdr:spPr>
        <a:xfrm>
          <a:off x="5372100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E23C5D98-F101-4F4F-93CA-92C6F4AE6FE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E9B4C8A-3B8A-49BD-91DA-5C6E4D9054B8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AED9CBC7-6CA4-4DF8-8B4A-E134EA1B81F2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C8841E5D-FE2F-475E-B822-813CADEAA59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AD01BB1C-500E-4C08-A318-1E8ABA89F89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C8C13AFA-B48D-40A7-A4EC-D194CC20EECB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E821B1A0-5217-453F-9E28-9E95586D7E92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EBFF423C-D29E-4DAA-8E32-2016D8B36F17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E08B135A-BF94-4757-A681-23E9B4110628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23A24D60-7300-495D-82BE-4078590EB48F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3297E9CF-C097-4071-962A-A06B0D0D1051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8556EBA8-E48D-416F-8544-F999ED600DBA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BB81FF72-2176-4155-B4AD-6B3C1CA3C8FD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ADA88AAA-9B2C-4F50-A43C-DDB3C37ABBDE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C7402DA7-8569-4BF5-AEB5-56EB0EF6FC1F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5DBAF1AC-E589-427F-850B-D8B2986AC404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F6F0ACF3-6804-4F19-A7EA-2C49810860A2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C01E9A7C-0E55-4D63-A04E-9B2EC568FE02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66E42182-7FD1-4F47-A12C-E7E3C8E1DFC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CFF7563B-D412-42D6-97C0-3FFC53FE0C74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EE0EC76D-27B4-4B9C-A6D9-F871F11DDAE6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46F5F96D-07C1-4F70-8601-871149A0FFE0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BCBA4163-7994-4AD1-B7DB-9FD790B25C77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BE5B109E-9D2B-4AD6-A122-E9CD2A94FF69}"/>
            </a:ext>
          </a:extLst>
        </xdr:cNvPr>
        <xdr:cNvSpPr txBox="1"/>
      </xdr:nvSpPr>
      <xdr:spPr>
        <a:xfrm>
          <a:off x="5372100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79BF1358-29FD-480A-AA99-7DA6B34BD997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562612F7-C3C6-4E17-B1D3-A07694F728F2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E9C34D88-7481-4578-A272-937DAFC3ED6D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DFB37889-7E71-4BC5-B387-49837D9F7957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84FC5CB9-9A60-41D6-8514-857857D6256D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E22CF9FA-F890-4A9A-B6D4-3888EA950D43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5EAABA6D-47EB-4D4A-ABF2-EFF24307FFA9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3E0A4AC3-E09B-4C89-82FE-EBEF78E5C6D3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38E6A26C-C8AA-4C49-895A-2EF539ED5C93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5204B309-3CEA-4A13-BFA1-9FE52E08C91F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E1E16B78-C419-4E5F-B9F3-A1761BD9C4E6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271F0CE6-B43E-4966-8506-5B0C0D31E0CC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CF60E4D0-E8CB-49FF-A7A7-48330CECADB8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9B077BFE-D0A8-45CE-9A48-449461AF04F6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50DCAA63-389B-46DC-AC63-BFDC71921A53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7737671F-8793-4A93-9BAA-8FB2933E8C49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78785870-B10B-486F-9BD5-DEAAC0A123CE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D6308D99-D733-4318-A483-435AC5DC6D22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8AA00AF5-7734-47F9-9543-8982AB8A3D99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BDA10340-4191-4E6A-9487-0B08C5715D51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19F035F2-3AE9-47B7-AAAE-3D1E276B68FE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673ECF49-335F-48BD-9DA8-694714E55BD1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F34858-F68C-4E06-8D03-DE9541BC0273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18673E5B-96F0-4037-9155-A2BB38FDD7E2}"/>
            </a:ext>
          </a:extLst>
        </xdr:cNvPr>
        <xdr:cNvSpPr txBox="1"/>
      </xdr:nvSpPr>
      <xdr:spPr>
        <a:xfrm>
          <a:off x="5372100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1EE72157-C51E-436F-BF8A-3ECBE14B3A6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163D5352-9F29-4990-B63E-0A3722EF92AA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1A8B1C6A-645D-4397-A321-95B3CBA57C0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26902A06-69D6-4134-BA0D-DDCA4B9B014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65A64BBE-6703-4E8C-8BA5-1C945B19405F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F105C519-B68E-4707-85EA-832C21CF475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2FAE21-082A-414F-B5B6-3D14E408F91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AFFD0483-C9C0-4578-A573-A197BEFCE487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BF452916-F1E5-4B27-B1BD-4C542D42B4DF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28BE4790-2D3A-40F9-B2D0-1F5A3A282023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268CF8AA-CF99-4678-8E39-1D40FDE9292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6BE78BBB-1CE6-4043-853C-9AE682C63CFB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7AB4869A-ECD7-430B-BBD1-AC9BC8F5F83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3BBCA11C-76B9-48E1-A54A-86CE72845F5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496B62E8-AC0B-4C5B-90C8-25939D1CB195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564A65E3-D0DF-46F3-A98C-E02859AD81C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547815C4-BE37-4BD7-A03D-F65B34A164C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F4CCB04C-8F45-4603-A434-CB577F943937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7A1EA279-A337-41AC-864C-D30212D1FE2A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A57275D6-1952-42E9-89D2-5B2C5867DC0E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8FC75034-4739-45D3-AFE8-78F56E18117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21DCDAEC-359C-40CC-87EA-BEBE407A17E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FB6B138E-54E5-4A16-A55B-3C9D67BB0E7D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A0C95DE9-8C04-43B0-A44D-C9C2474EA997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881C3E0F-85CE-4302-A35A-471ABE792B7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DF895A28-CC17-4CF0-88BF-2145F1BE19D2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BCE5950-DAF5-4E1B-B0E1-15E6FAA5E2A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58C6D284-EBAF-4828-BAE7-54979BCB5879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52CF7FB5-34EC-42F0-834E-D71456FD2B4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7A4A7282-EA40-44BE-9B3B-D707DCC4FC18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9E3B1D95-480C-409D-8A8C-36CAFBFA3455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378B3399-16C2-404C-B2DC-B32DF6F83EAF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6F7061AB-EAE5-4681-8DA8-782F35D08B7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644EAC-4D73-4AB0-99E6-96CBB52693B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6835F9C2-126E-4516-A5BB-133EC89C10F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C140D560-54ED-4A4A-A76E-489EA6EF8CA0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15B494B4-0974-4374-B7C1-015669FE0B8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C0747021-227F-4083-8A9B-42E4580D750D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D320AB86-AEC8-43DC-95F0-EBF8D06D31FC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77EC1667-4B91-4BDF-9425-7621480C82A3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F11F6E86-8F45-43CF-99DF-19116E0D78B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86AB3DCB-59A4-4732-BA1E-5F7F3D07383E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2FAB8C84-60C0-484E-A3F5-87EF63B004A6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C2BEAFC3-F5B2-4257-A8FC-8F8A1EBBC114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C076A233-73D2-442D-B743-C529F01F34B5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2CDC6ADA-4698-4B73-B14B-D1D913FCCA4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B46F7EC2-F9D1-44AB-BA57-4B4C00C25233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C90A4E2E-06BB-4BA0-BD69-00EFC658B541}"/>
            </a:ext>
          </a:extLst>
        </xdr:cNvPr>
        <xdr:cNvSpPr txBox="1"/>
      </xdr:nvSpPr>
      <xdr:spPr>
        <a:xfrm>
          <a:off x="5372100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A12C3EDC-9719-4E71-AB35-79D0F9114A11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2B2CE76C-9A45-4703-89FE-952CBA18AADF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2E8F620E-AA1D-417D-8BD3-D333901D3DBD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61F513A-F5D2-4CF8-980D-ECA85CD8CFB0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4A75515A-550F-41E6-A7EE-B0685BC55AF1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F1AE6FE2-F0E1-47F7-9923-B7EF73A6645E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51995C76-1EDE-404B-89E5-51B7CC1F4824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37B3A794-76D6-49E5-854C-7F2DAD21278D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C0761D29-F6A8-4CB0-AE38-852E6CD51931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2552173C-15C1-4C45-ACBD-A7619FEF33DA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DE2010F0-70D9-40AB-A94F-22F08BB78110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809879AB-9104-43C0-9FEA-F78C2880444D}"/>
            </a:ext>
          </a:extLst>
        </xdr:cNvPr>
        <xdr:cNvSpPr txBox="1"/>
      </xdr:nvSpPr>
      <xdr:spPr>
        <a:xfrm>
          <a:off x="5372100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5395AC31-3EB0-4594-9EC1-C2B398B8DEAC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3AF74C01-C823-4D49-8E34-8DEF6B2F9641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F883ECE2-C00F-4D19-8F3F-4BB41DE4DB7C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F136ADF4-3DE2-4C10-8945-96B53BAD041F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70B628CA-A73D-4116-A22C-E7F5DA38231D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57D5BDB2-E109-4CC1-8741-F645956D0B30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5C70012B-1572-47DC-9496-A4DB804DEF4B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FFB90793-6C40-454B-B507-14DF0DED2666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849FB954-B19B-4D1B-B11A-BF37FE35BD31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EA55C1DE-9E97-427C-A6AB-80ED66E0E818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AF18D430-8DE0-45BD-A42B-D994789DAA2C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4A6E20AA-B0A6-4360-B387-18C37B76C6B4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98BD0B32-9731-4BE8-BA8B-0BEF501BC68A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317A0CB6-A3D5-481B-B7C6-AC5A50AED3DB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ED68222D-5509-4326-8BA4-FB359DD0C558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A88CBFC2-B561-4CD9-B668-148587549334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BC061B92-80A2-4CDA-8905-28C24497B107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1E8B7A2A-CDED-48B9-B421-4AA20CB99529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7E2EDD1C-9FED-47AD-A155-E9B14E505FC1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286161B5-9FDE-4480-8C48-970449B70F26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4C314BD-4BEA-4EC6-9E4A-DC9713A68E87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A2DE8E7F-20A2-4E6F-BD1B-D3E87C363FC3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8AFB2371-88F6-4F50-BB24-8888A6A99F91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F34B1B63-6EB7-465F-8E74-0480F90E11B7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AF5AB75A-7610-46BE-9B24-3B69CA91C8A6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3FD35000-1B8A-448B-A2E2-87982FA9B608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769FC12B-2B2C-442F-8B00-CFE1630B81EC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7A714964-449F-46CF-A4DD-D710B2BF56EE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2CB556F1-1256-4E96-B58F-6092BBACDC82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FE66939D-2895-4992-B5F1-D34F90227A48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31D64AA-2060-4F29-A7C2-643013CD2839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9D946792-8AC6-456D-A0B2-D6C767BB585A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B2D44DB5-4959-44DA-93F8-792D232A4148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51967569-9CEF-4B11-B2DE-FF4118A5170E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5D242190-E008-49FB-BBD9-2806F374B020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543ADC70-BD42-4BFF-8B36-E6668C183DFC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B88217DB-BB55-4C95-B715-10CD633C2269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18176A53-B893-4A21-AC2B-9FBFF1F86FA4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D1B6E310-B7C5-4D5D-B872-C23068108CC9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703CDFD3-AEE1-4575-BA9E-AC7E8EBFF0E6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73EE6228-7D21-4868-B22C-B3E8075251FA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E07B2669-F953-4ADF-9C17-3EBA4CF1513F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1F5DB098-F783-4393-87C8-039E4C7EE54C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798AAC65-3138-4E92-A7FC-8816504CA80A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4A901F06-3D2B-4511-AE4B-7CC1E389A4EB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1D803BDB-BE4B-4096-BE19-3806E659D7A0}"/>
            </a:ext>
          </a:extLst>
        </xdr:cNvPr>
        <xdr:cNvSpPr txBox="1"/>
      </xdr:nvSpPr>
      <xdr:spPr>
        <a:xfrm>
          <a:off x="3200400" y="430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2E747065-1B6F-4E2B-B176-90E4495FA208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EDF575A5-1712-425D-BDA9-948AF3C513FA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9355D1A8-D2FB-4109-B754-628DF2D940C5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96672BD7-5295-4A92-8687-118238CEA8FE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2B23E0E4-2D55-4DAF-AECC-24B1B8E5C981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E6B8F59B-5417-484C-B2B8-A2E988C8E793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83199822-86A4-4209-8A5D-BE3873E14F3E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B162752C-6494-4A41-9EAC-B3B25E1CF4FA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36A85A60-9C21-4CF9-ABF4-302AAF40E623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59CC95A2-322C-4BD8-8F37-0757040DF5F4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455BFD2A-7A3E-4CA6-B57D-E995EF36696A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34B7B851-5C01-4D6C-9B3E-A820F895BE9D}"/>
            </a:ext>
          </a:extLst>
        </xdr:cNvPr>
        <xdr:cNvSpPr txBox="1"/>
      </xdr:nvSpPr>
      <xdr:spPr>
        <a:xfrm>
          <a:off x="3286125" y="396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96F9B3EF-2B47-4B8C-98AE-513CC6D6AB7D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B78641FE-8764-4BDC-93BC-5729BC948B3B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45B2670D-2A5B-488B-A567-E27BF83A0B13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F00BD91E-02C0-4B86-B9AD-6C7BF1691A39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7B863940-AD5A-4E7E-9F96-3F6F13D8AFA5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2E6924F8-4DF0-4511-8A46-5FCF2C4CCCFA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E94D8969-6F30-4724-84F1-A873CD5880EF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140594D2-56C3-4661-9B8E-459B2FFA200A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A1679847-5222-4048-A2C6-115789AC679B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DF556D52-7A0D-49D8-9E68-E785C601D8A3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8AC2C805-529E-4C52-9173-1F4EFD012DE2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82C3791B-FDF8-4C1A-ACF3-CD6D2050F047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250D78FD-82C3-438D-A521-A1223F146B2B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E08AD0F1-E26E-4000-82B3-F0680A740D45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721D57C7-5234-4107-A6F4-007466B429EA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5CE8C600-FD29-4085-AAB9-677A5B90B08B}"/>
            </a:ext>
          </a:extLst>
        </xdr:cNvPr>
        <xdr:cNvSpPr txBox="1"/>
      </xdr:nvSpPr>
      <xdr:spPr>
        <a:xfrm>
          <a:off x="3286125" y="398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21786EC8-86B9-40AC-ADDC-C9BA7041E855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F0484460-D6C3-4F31-9CA6-432EC5F9D4E3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FCEB105B-85DF-4346-9696-5A1F2DA13E7C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336BD303-9146-4D52-A748-F6E9768CA066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87418745-5E0B-4D54-B698-6E3BAE193EB0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68BBA4A5-EC4E-4CA8-8CE9-F490F3636FE2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313604EA-9254-4E08-A43E-35D9A199ABD9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4E261485-356D-4527-9B45-2E93763032A6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99328220-E8BC-44B0-A454-24E4588AEBB6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D6A2096-6097-4F7F-9285-A86D32905C90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85AED456-025B-4E7C-9081-53E3DA61F4D1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3AC97474-884C-44E4-970E-F6ABAECD877A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B85298D1-88BE-4A66-BA05-4CB37616B851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10C547F3-72FA-4FCD-A186-37E50D6504AB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227F2A44-3DF2-4D60-892B-CB1FEC87FF48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6B097BDB-A852-4013-AC1F-B3B769151706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CB8AD387-0223-4AAF-878D-A73F28EDCFEA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71E3214C-4645-4E70-A005-A3A9D0FB7746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44B2FAA2-DE33-4804-90F4-76F8C63E449D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46EECEB6-A881-40CA-A66D-E41901027490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4A306211-292E-47FC-8D58-D86BFE6BAE8C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70B20A63-E108-419A-A16A-2F4CD99A2C72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C717E4FF-782D-4695-AC0D-20169EE40EEE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4A174FEA-9257-40C6-B1E4-3B127D948F05}"/>
            </a:ext>
          </a:extLst>
        </xdr:cNvPr>
        <xdr:cNvSpPr txBox="1"/>
      </xdr:nvSpPr>
      <xdr:spPr>
        <a:xfrm>
          <a:off x="3286125" y="400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AFBD0773-87C1-491D-87ED-83419F5C05F0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16BDD724-E659-417F-94CB-4FCE56689B77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5A0A7D37-F8B1-4C41-8D9B-40D05F9EB7F7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24D9BC3C-B6D5-497A-BEDC-EC46F6EA138F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2AC7AA34-7467-449F-B1A4-80FB4D77049D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52A30D7B-A261-4A7A-89F7-EB1F548095CA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28D8025B-8517-4A1B-83B4-60255711515B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403D30C4-A96D-400F-8787-919582AFB074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B1E64699-F03D-44D5-B510-F44F747311DF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64AD84C7-BACA-4A9C-97EB-83002394FC6D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BD6298F2-11FD-4C8E-B6AD-73BF2A56ADBC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C8CE825E-28EF-40D2-82A7-04C99FB6D3E5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99BA909F-29C4-4179-918A-C495A4CAE131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C2559D1E-4638-4AC1-8FF9-B9D797C201B6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2F7DC066-3C01-4B18-A0BC-7A16CC9A60D1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3E48283F-E5BF-4C51-AE14-6650397DCE51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67E96012-1C43-4C67-A0F6-E3B72E78E118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D8299431-9AF7-4DB8-B42C-FCA2D901D912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832C0842-4BFE-479E-B95B-6B1CFA6FCFFF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F1E67F89-6B3E-4EFB-8898-CB74736F5205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59081795-5778-4A16-A923-70568DCC77CC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A0610D19-2A8C-41B3-9823-2ABE819F7925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7DD09C2B-8F7D-4ED2-BF01-99B2BBD06B18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4C8FA929-FACC-4B01-9A43-57DE206F9429}"/>
            </a:ext>
          </a:extLst>
        </xdr:cNvPr>
        <xdr:cNvSpPr txBox="1"/>
      </xdr:nvSpPr>
      <xdr:spPr>
        <a:xfrm>
          <a:off x="3286125" y="402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D9264AEB-03F4-429D-9219-0D96A6FBCE47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E1D86C09-93D3-4BAF-A7CC-B47F375CF77C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8E1E3E7E-BA94-4F33-9E5F-74E6E6DD1EED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F9C5BD11-B1FE-43EF-98BE-5D506A0F3B2A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1A261CE3-7E7D-4914-B15E-0D025B30734F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FCB3711D-75DF-4F8B-8B57-E8864182FA5C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37687AB7-189E-4D6A-B42A-C8869555F243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84B078E7-ED5F-4E8B-9417-BB67D78C2E49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D06A4CC8-D7E6-4485-983C-7BC3A8CD4096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6079D40E-3DC5-4A5F-B9CC-A7FBC7A4B786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FBF9566D-2F4B-4ADE-B618-A16A69057CDE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66DC459F-1B90-4A45-8E55-142F8FD03BD8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50547071-BD97-4EA4-9061-9DB2ADC4910D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5EC62744-36B7-4AB7-97FF-AA7AEF53A6C0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A605F500-EF0B-448E-97A2-0C5492E53876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AEE90DCC-CC2B-4FC6-AECF-E21F1EE1422C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C431A547-158E-4A8D-9DB1-AF8D0144140A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3EEF9F6A-50F3-4FE3-926F-A78F4AE0B553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F191E24-7278-4513-858E-61F5F6AE90D0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2F80170E-D7D5-4071-89DC-C2E1B6B61DB2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6EBC9C7E-E205-4F73-A7F3-45A518D9B68E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AB069D41-8E69-4D9B-A056-654FB535210B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DA3151F-024D-461C-88EB-40FC003FBD92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4C56377E-C2A1-408D-9D3D-E792E41F8B4B}"/>
            </a:ext>
          </a:extLst>
        </xdr:cNvPr>
        <xdr:cNvSpPr txBox="1"/>
      </xdr:nvSpPr>
      <xdr:spPr>
        <a:xfrm>
          <a:off x="3286125" y="404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4E4FDDDE-73BB-4DD0-8FE3-28BBF51CDBBE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FB39A8E0-2C21-4FD3-B1F5-D87F6243DFF9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86E6D3DF-74ED-45E3-B21F-5F67DF4D0B8B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49B2E591-D338-4CDB-9088-5BFD8DDFE4A5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BF00A61E-D1B1-44A7-8E4E-7BF5C557A95D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59B26CF8-26BC-4F9C-8C4C-E078770FC489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29B9B40-FA85-40DE-B5A8-7DBA9018A1F3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BD9ED21D-AC8C-4ABC-A4C5-6D0FBA3F24B6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E1F9872-0C34-48E1-8C79-FDC17D7A0460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654F2C46-DBF4-458A-9E9B-DC83C673FDE5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92AE8175-5A50-407B-84C2-1A0A90EFC46C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A5BA4F1E-0837-4143-A83D-4AF762FD25A4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56FF551C-E140-480D-B750-2F9D98CC2637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D89805BA-8933-435E-ADCB-787172381FC2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B3C081-A430-484C-8379-5777AAE22C01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F360165C-A970-4CB3-9587-2E893F22B65F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424007FA-303D-4D62-8FB4-E5B05F5BF500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FF83BB0E-D3F1-4F07-9A23-CE6A669072C6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2CF59B01-B093-4B97-8048-63BF89AA1DC2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CDE62410-479A-41A5-B0E7-6BE05F268E7B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34E63ED3-5D24-4D4E-A31A-933167BEEE6F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EDDFADD-8743-4B28-9A54-F96F2E4538AA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7E377128-7382-40D3-AB17-23DAA5C26E87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3657A2F2-932B-4403-A07A-AA6C3EA060DC}"/>
            </a:ext>
          </a:extLst>
        </xdr:cNvPr>
        <xdr:cNvSpPr txBox="1"/>
      </xdr:nvSpPr>
      <xdr:spPr>
        <a:xfrm>
          <a:off x="3286125" y="406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27780C06-6A39-4F87-A6C1-33A0E91CF47D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7BFA68D4-B327-4C33-80BD-7F590DDEF689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8CE36AD1-87AB-447B-8F31-9B1CFED96DAA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831A52B1-22A1-4FF8-8951-1536979E342A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D505A9EB-F4F8-46AF-890E-4DC97E3DA776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75A31877-E3ED-4404-A969-FAAD75321642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82CA68C-1F26-458E-983B-6E75FA72F9C5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FDE782B0-A585-4238-9D1E-3C7CB2E006A6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2153E334-38C0-4ACF-ADCE-DE73F0C72D43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AA330E24-EC26-4065-913C-CC7E02A3B096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CA035E90-569C-4673-836F-C338C0CCD7E0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8E38722D-F652-4619-812E-FF40FF7E28CC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8D60ACA9-53D6-4B9B-A683-7C8C3FEBC772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D674A1C4-3CC5-4E03-AD76-D13951A8CE5C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31DF2090-D246-4359-8068-C80E05FD1D90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B6D2AF53-3A89-4BF5-B34B-C262B323B6A0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5A084A09-F10F-4A1A-A911-D02849222440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F125C1CE-917F-4AA5-88B4-C25DACD76D1B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B0C57B5E-2D8A-42B5-9466-2B7CE540B502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A9EFC462-B038-4D7B-A0EC-20C40A7E864C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4EF12517-32D0-4C23-A546-A43172C4BFB4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388F7CC-30C1-4400-B910-85F3F4BF484F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1ABD2F99-4DDE-4E7B-8FF4-895FF87805C1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ADB616D6-8C54-4427-8BD3-298D7F5BED33}"/>
            </a:ext>
          </a:extLst>
        </xdr:cNvPr>
        <xdr:cNvSpPr txBox="1"/>
      </xdr:nvSpPr>
      <xdr:spPr>
        <a:xfrm>
          <a:off x="3286125" y="408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EF36C899-842F-4727-B52B-E2273624D207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FB7056AD-4C62-4AE0-9A95-998F4F4FE821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10901996-23AC-4700-BE5C-DE3D858B0316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DD118724-26B7-4ACB-A2BF-9F9636A95804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D260A193-CFF4-47D8-B723-2ADE214AEAC1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57ACB211-8B88-4EAD-B212-F7308433EF37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D513781E-9ADC-4CF7-B5FA-C019B29ADF62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3A76882E-7405-45FD-82F2-1ED4334688AB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91A5938B-A0E0-4937-989C-58C7C8D400EF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50EC13BC-CFC0-4C28-868B-50AC582E34BE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42618F47-4DE0-4E78-947B-7F39E0128F78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FEB4A5D3-9341-4BDD-90F5-2C7BF1D5AC81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D6655BB5-6BF9-4D25-91BE-7AB3CA9EE65E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1FC844DC-D989-4352-92F3-E8F6E7D24468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FF5D838B-E1D3-4FEE-B090-04F3FBD4C3BE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69D9F543-AEE1-4694-8C16-D8C373FDCF3D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47383C4A-C5BF-4A55-848F-E5DECFEF5A08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326F76A0-B669-4A71-A7A8-846C65F5577F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3442F6A-1229-4836-8123-6B9480E4D471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D1CAF682-4E69-42B1-8AA3-FD02636FA949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97BFD03D-6546-4CF4-A397-67D6C8DB31D4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B85F08C-9637-49D2-879C-F0469A730AFB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FD8EEA5-AC32-4039-9604-4B66F605B2BB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CB453C42-EF2F-484F-B36B-7042A5744954}"/>
            </a:ext>
          </a:extLst>
        </xdr:cNvPr>
        <xdr:cNvSpPr txBox="1"/>
      </xdr:nvSpPr>
      <xdr:spPr>
        <a:xfrm>
          <a:off x="3286125" y="410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F4622161-D78D-423E-B859-2353FA92E913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F507B4B8-ABFF-4110-825D-FEC285C0536F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14915E2A-B822-4A38-A31A-EB59B73A00B5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23F5F558-83E1-41C0-B798-C09D4A11CCC9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35DBBF82-8049-4D6D-A9B9-19EA84C22D5B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96E8E2B7-F1B8-490A-9E9C-EE500311B6AE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ADB507FA-4EA8-4A83-8937-AC622962735E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3D931901-2C0A-43AB-B79B-8534DE48FBE4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A5F5E953-BA29-4154-8C76-9E7400C36398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801462DE-ED9F-4F89-BB4D-695FCAB2C553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9E67D1A9-113E-4A37-BDB8-43894919C435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3E116BA6-A0DF-4038-9177-17CAF50D57AC}"/>
            </a:ext>
          </a:extLst>
        </xdr:cNvPr>
        <xdr:cNvSpPr txBox="1"/>
      </xdr:nvSpPr>
      <xdr:spPr>
        <a:xfrm>
          <a:off x="3286125" y="412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85B8-9EC6-4A0C-BC91-CA7884C069F6}">
  <dimension ref="A1:D6"/>
  <sheetViews>
    <sheetView workbookViewId="0">
      <selection activeCell="C9" sqref="C9"/>
    </sheetView>
  </sheetViews>
  <sheetFormatPr defaultRowHeight="15" x14ac:dyDescent="0.25"/>
  <cols>
    <col min="1" max="1" width="41.28515625" customWidth="1"/>
    <col min="2" max="2" width="14.7109375" customWidth="1"/>
    <col min="3" max="3" width="13.42578125" customWidth="1"/>
    <col min="4" max="4" width="11.85546875" customWidth="1"/>
  </cols>
  <sheetData>
    <row r="1" spans="1:4" ht="16.5" thickBot="1" x14ac:dyDescent="0.3">
      <c r="A1" s="269"/>
    </row>
    <row r="2" spans="1:4" ht="48" thickBot="1" x14ac:dyDescent="0.3">
      <c r="A2" s="270" t="s">
        <v>240</v>
      </c>
      <c r="B2" s="271" t="s">
        <v>241</v>
      </c>
      <c r="C2" s="271" t="s">
        <v>242</v>
      </c>
      <c r="D2" s="271" t="s">
        <v>243</v>
      </c>
    </row>
    <row r="3" spans="1:4" ht="32.25" thickBot="1" x14ac:dyDescent="0.3">
      <c r="A3" s="272" t="s">
        <v>244</v>
      </c>
      <c r="B3" s="273">
        <v>10951.333333333334</v>
      </c>
      <c r="C3" s="274">
        <v>333.83333333333394</v>
      </c>
      <c r="D3" s="275">
        <v>3.1441802056353607E-2</v>
      </c>
    </row>
    <row r="4" spans="1:4" ht="16.5" thickBot="1" x14ac:dyDescent="0.3">
      <c r="A4" s="272" t="s">
        <v>245</v>
      </c>
      <c r="B4" s="273">
        <v>328.00888888888886</v>
      </c>
      <c r="C4" s="273">
        <v>10.066666666666656</v>
      </c>
      <c r="D4" s="275">
        <v>3.166193717936161E-2</v>
      </c>
    </row>
    <row r="5" spans="1:4" ht="16.5" thickBot="1" x14ac:dyDescent="0.3">
      <c r="A5" s="272" t="s">
        <v>246</v>
      </c>
      <c r="B5" s="273">
        <v>191.80400000000003</v>
      </c>
      <c r="C5" s="273">
        <v>4.08400000000006</v>
      </c>
      <c r="D5" s="275">
        <v>2.1755806520349807E-2</v>
      </c>
    </row>
    <row r="6" spans="1:4" ht="16.5" thickBot="1" x14ac:dyDescent="0.3">
      <c r="A6" s="272" t="s">
        <v>247</v>
      </c>
      <c r="B6" s="273">
        <v>238.56000000000003</v>
      </c>
      <c r="C6" s="273">
        <v>0.48000000000001819</v>
      </c>
      <c r="D6" s="275">
        <v>2.0161290322580072E-3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A7E6-2449-4721-B85F-E35BB2686F1A}">
  <dimension ref="A1:V88"/>
  <sheetViews>
    <sheetView tabSelected="1" zoomScaleNormal="100" workbookViewId="0">
      <selection activeCell="G7" sqref="G7"/>
    </sheetView>
  </sheetViews>
  <sheetFormatPr defaultColWidth="9.140625" defaultRowHeight="15.75" x14ac:dyDescent="0.25"/>
  <cols>
    <col min="1" max="1" width="46.7109375" style="3" customWidth="1"/>
    <col min="2" max="2" width="12.28515625" style="5" bestFit="1" customWidth="1"/>
    <col min="3" max="3" width="11.85546875" style="5" bestFit="1" customWidth="1"/>
    <col min="4" max="5" width="10.5703125" style="3" bestFit="1" customWidth="1"/>
    <col min="6" max="6" width="12.140625" style="3" bestFit="1" customWidth="1"/>
    <col min="7" max="7" width="11.140625" style="3" bestFit="1" customWidth="1"/>
    <col min="8" max="8" width="9.85546875" style="4" customWidth="1"/>
    <col min="9" max="9" width="10.28515625" style="3" bestFit="1" customWidth="1"/>
    <col min="10" max="10" width="13.85546875" style="3" customWidth="1"/>
    <col min="11" max="11" width="9.140625" style="3"/>
    <col min="12" max="12" width="10.5703125" style="3" hidden="1" customWidth="1"/>
    <col min="13" max="14" width="9.28515625" style="3" hidden="1" customWidth="1"/>
    <col min="15" max="20" width="0" style="3" hidden="1" customWidth="1"/>
    <col min="21" max="16384" width="9.140625" style="3"/>
  </cols>
  <sheetData>
    <row r="1" spans="1:8" ht="18.75" x14ac:dyDescent="0.3">
      <c r="A1" s="1" t="s">
        <v>0</v>
      </c>
      <c r="B1" s="2"/>
      <c r="C1" s="2"/>
    </row>
    <row r="2" spans="1:8" ht="19.5" thickBot="1" x14ac:dyDescent="0.35">
      <c r="A2" s="1" t="s">
        <v>1</v>
      </c>
    </row>
    <row r="3" spans="1:8" x14ac:dyDescent="0.25">
      <c r="A3" s="6"/>
      <c r="B3" s="7" t="s">
        <v>2</v>
      </c>
      <c r="C3" s="8" t="s">
        <v>3</v>
      </c>
      <c r="D3" s="8" t="s">
        <v>4</v>
      </c>
      <c r="E3" s="9" t="s">
        <v>5</v>
      </c>
    </row>
    <row r="4" spans="1:8" ht="16.5" thickBot="1" x14ac:dyDescent="0.3">
      <c r="A4" s="6"/>
      <c r="B4" s="10" t="s">
        <v>6</v>
      </c>
      <c r="C4" s="11" t="s">
        <v>7</v>
      </c>
      <c r="D4" s="11" t="s">
        <v>8</v>
      </c>
      <c r="E4" s="12" t="s">
        <v>9</v>
      </c>
    </row>
    <row r="5" spans="1:8" x14ac:dyDescent="0.25">
      <c r="A5" s="6" t="s">
        <v>10</v>
      </c>
      <c r="B5" s="13">
        <f>B19+B23</f>
        <v>10856</v>
      </c>
      <c r="C5" s="2">
        <f>C19+C23</f>
        <v>11204</v>
      </c>
      <c r="D5" s="14">
        <f>C5/B5-1</f>
        <v>3.2056005895357398E-2</v>
      </c>
      <c r="E5" s="15">
        <f t="shared" ref="E5:E11" si="0">C5-B5</f>
        <v>348</v>
      </c>
    </row>
    <row r="6" spans="1:8" x14ac:dyDescent="0.25">
      <c r="A6" s="16" t="s">
        <v>11</v>
      </c>
      <c r="B6" s="5">
        <f>B29+B32</f>
        <v>10594</v>
      </c>
      <c r="C6" s="5">
        <f>C29+C32</f>
        <v>10932</v>
      </c>
      <c r="D6" s="17">
        <f>C6/B6-1</f>
        <v>3.1904851802907253E-2</v>
      </c>
      <c r="E6" s="15">
        <f t="shared" si="0"/>
        <v>338</v>
      </c>
    </row>
    <row r="7" spans="1:8" x14ac:dyDescent="0.25">
      <c r="A7" s="18" t="s">
        <v>12</v>
      </c>
      <c r="B7" s="5">
        <f>B39+B42</f>
        <v>11875</v>
      </c>
      <c r="C7" s="5">
        <f>C39+C42</f>
        <v>12402</v>
      </c>
      <c r="D7" s="17">
        <f>(C7-B7)/B7</f>
        <v>4.4378947368421053E-2</v>
      </c>
      <c r="E7" s="15">
        <f t="shared" si="0"/>
        <v>527</v>
      </c>
    </row>
    <row r="8" spans="1:8" x14ac:dyDescent="0.25">
      <c r="A8" s="6" t="s">
        <v>13</v>
      </c>
      <c r="B8" s="5">
        <f>B49+B52</f>
        <v>10366</v>
      </c>
      <c r="C8" s="5">
        <f>C49+C52</f>
        <v>10736</v>
      </c>
      <c r="D8" s="17">
        <f>(C8-B8)/B8</f>
        <v>3.5693613737217827E-2</v>
      </c>
      <c r="E8" s="15">
        <f t="shared" si="0"/>
        <v>370</v>
      </c>
    </row>
    <row r="9" spans="1:8" x14ac:dyDescent="0.25">
      <c r="A9" s="6" t="s">
        <v>14</v>
      </c>
      <c r="B9" s="5">
        <f>B60+B63</f>
        <v>9774</v>
      </c>
      <c r="C9" s="5">
        <f>C60+C63</f>
        <v>10094</v>
      </c>
      <c r="D9" s="17">
        <f>(C9-B9)/B9</f>
        <v>3.2739922242684676E-2</v>
      </c>
      <c r="E9" s="15">
        <f t="shared" si="0"/>
        <v>320</v>
      </c>
    </row>
    <row r="10" spans="1:8" x14ac:dyDescent="0.25">
      <c r="A10" s="6" t="s">
        <v>15</v>
      </c>
      <c r="B10" s="5">
        <f>B76+B79</f>
        <v>10240</v>
      </c>
      <c r="C10" s="5">
        <f>C76+C79</f>
        <v>10340</v>
      </c>
      <c r="D10" s="17">
        <f>(C10-B10)/B10</f>
        <v>9.765625E-3</v>
      </c>
      <c r="E10" s="15">
        <f t="shared" si="0"/>
        <v>100</v>
      </c>
    </row>
    <row r="11" spans="1:8" x14ac:dyDescent="0.25">
      <c r="A11" s="19" t="s">
        <v>16</v>
      </c>
      <c r="B11" s="5">
        <f>B69+B72</f>
        <v>6140</v>
      </c>
      <c r="C11" s="5">
        <f>C69+C72</f>
        <v>6420</v>
      </c>
      <c r="D11" s="17">
        <f>C11/B11-1</f>
        <v>4.5602605863192203E-2</v>
      </c>
      <c r="E11" s="15">
        <f t="shared" si="0"/>
        <v>280</v>
      </c>
    </row>
    <row r="12" spans="1:8" x14ac:dyDescent="0.25">
      <c r="A12" s="19"/>
      <c r="D12" s="17"/>
      <c r="E12" s="15"/>
    </row>
    <row r="13" spans="1:8" x14ac:dyDescent="0.25">
      <c r="A13" s="6" t="s">
        <v>17</v>
      </c>
      <c r="B13" s="5">
        <f>AVERAGE(B5,B6,B7,B8,B9,B10)</f>
        <v>10617.5</v>
      </c>
      <c r="C13" s="5">
        <f>AVERAGE(C5,C6,C7,C8,C9,C10)</f>
        <v>10951.333333333334</v>
      </c>
      <c r="D13" s="17">
        <f>C13/B13-1</f>
        <v>3.1441802056353607E-2</v>
      </c>
      <c r="E13" s="2">
        <f>C13-B13</f>
        <v>333.83333333333394</v>
      </c>
      <c r="F13" s="20"/>
      <c r="G13" s="21"/>
      <c r="H13" s="22"/>
    </row>
    <row r="14" spans="1:8" x14ac:dyDescent="0.25">
      <c r="A14" s="23" t="s">
        <v>18</v>
      </c>
      <c r="D14" s="17"/>
      <c r="E14" s="2"/>
      <c r="F14" s="20"/>
      <c r="G14" s="21"/>
      <c r="H14" s="22"/>
    </row>
    <row r="15" spans="1:8" ht="16.5" thickBot="1" x14ac:dyDescent="0.3">
      <c r="A15" s="6"/>
    </row>
    <row r="16" spans="1:8" x14ac:dyDescent="0.25">
      <c r="B16" s="24" t="s">
        <v>19</v>
      </c>
      <c r="C16" s="25" t="s">
        <v>20</v>
      </c>
      <c r="D16" s="8" t="s">
        <v>21</v>
      </c>
      <c r="E16" s="9" t="s">
        <v>5</v>
      </c>
      <c r="F16" s="4"/>
      <c r="G16" s="4"/>
    </row>
    <row r="17" spans="1:9" ht="16.5" thickBot="1" x14ac:dyDescent="0.3">
      <c r="B17" s="26" t="s">
        <v>22</v>
      </c>
      <c r="C17" s="27" t="s">
        <v>7</v>
      </c>
      <c r="D17" s="11" t="s">
        <v>9</v>
      </c>
      <c r="E17" s="12" t="s">
        <v>9</v>
      </c>
      <c r="F17" s="4"/>
      <c r="G17" s="4"/>
    </row>
    <row r="18" spans="1:9" ht="18.75" x14ac:dyDescent="0.3">
      <c r="A18" s="1" t="s">
        <v>10</v>
      </c>
      <c r="B18" s="28"/>
    </row>
    <row r="19" spans="1:9" x14ac:dyDescent="0.25">
      <c r="A19" s="3" t="s">
        <v>23</v>
      </c>
      <c r="B19" s="2">
        <v>6456</v>
      </c>
      <c r="C19" s="5">
        <v>6650</v>
      </c>
      <c r="D19" s="29">
        <f>C19/B19-1</f>
        <v>3.0049566294919394E-2</v>
      </c>
      <c r="E19" s="13">
        <f>C19-B19</f>
        <v>194</v>
      </c>
      <c r="H19" s="30"/>
      <c r="I19" s="31"/>
    </row>
    <row r="20" spans="1:9" x14ac:dyDescent="0.25">
      <c r="A20" s="3" t="s">
        <v>24</v>
      </c>
      <c r="B20" s="2">
        <v>7516</v>
      </c>
      <c r="C20" s="5">
        <v>7742</v>
      </c>
      <c r="D20" s="29">
        <f>C20/B20-1</f>
        <v>3.0069185737094273E-2</v>
      </c>
      <c r="E20" s="13">
        <f t="shared" ref="E20:E82" si="1">C20-B20</f>
        <v>226</v>
      </c>
      <c r="F20" s="5"/>
      <c r="H20" s="30"/>
      <c r="I20" s="31"/>
    </row>
    <row r="21" spans="1:9" x14ac:dyDescent="0.25">
      <c r="A21" s="3" t="s">
        <v>25</v>
      </c>
      <c r="B21" s="32">
        <v>7972</v>
      </c>
      <c r="C21" s="5">
        <v>8212</v>
      </c>
      <c r="D21" s="29">
        <f>C21/B21-1</f>
        <v>3.010536879076775E-2</v>
      </c>
      <c r="E21" s="13">
        <f t="shared" si="1"/>
        <v>240</v>
      </c>
      <c r="F21" s="5"/>
      <c r="H21" s="30"/>
      <c r="I21" s="33"/>
    </row>
    <row r="22" spans="1:9" x14ac:dyDescent="0.25">
      <c r="B22" s="32"/>
      <c r="D22" s="29"/>
      <c r="E22" s="13"/>
      <c r="F22" s="5"/>
      <c r="H22" s="30"/>
      <c r="I22" s="33"/>
    </row>
    <row r="23" spans="1:9" x14ac:dyDescent="0.25">
      <c r="A23" s="34" t="s">
        <v>26</v>
      </c>
      <c r="B23" s="35">
        <v>4400</v>
      </c>
      <c r="C23" s="36">
        <v>4554</v>
      </c>
      <c r="D23" s="37">
        <f>C23/B23-1</f>
        <v>3.499999999999992E-2</v>
      </c>
      <c r="E23" s="38">
        <f t="shared" si="1"/>
        <v>154</v>
      </c>
      <c r="F23" s="5"/>
      <c r="H23" s="30"/>
      <c r="I23" s="33"/>
    </row>
    <row r="24" spans="1:9" x14ac:dyDescent="0.25">
      <c r="A24" s="39" t="s">
        <v>27</v>
      </c>
      <c r="B24" s="40">
        <v>370</v>
      </c>
      <c r="C24" s="41">
        <v>370</v>
      </c>
      <c r="D24" s="42">
        <f>C24/B24-1</f>
        <v>0</v>
      </c>
      <c r="E24" s="43">
        <f t="shared" si="1"/>
        <v>0</v>
      </c>
      <c r="F24" s="2"/>
      <c r="G24" s="14"/>
      <c r="H24" s="15"/>
      <c r="I24" s="33"/>
    </row>
    <row r="25" spans="1:9" x14ac:dyDescent="0.25">
      <c r="B25" s="44"/>
      <c r="C25" s="45"/>
      <c r="D25" s="29"/>
      <c r="E25" s="13"/>
      <c r="F25" s="5"/>
      <c r="G25" s="46"/>
      <c r="H25" s="47"/>
      <c r="I25" s="33"/>
    </row>
    <row r="26" spans="1:9" x14ac:dyDescent="0.25">
      <c r="A26" s="6" t="s">
        <v>28</v>
      </c>
      <c r="B26" s="44">
        <v>195</v>
      </c>
      <c r="C26" s="45">
        <v>200</v>
      </c>
      <c r="D26" s="29">
        <f>C26/B26-1</f>
        <v>2.564102564102555E-2</v>
      </c>
      <c r="E26" s="13">
        <f t="shared" si="1"/>
        <v>5</v>
      </c>
      <c r="F26" s="5"/>
      <c r="G26" s="46"/>
      <c r="H26" s="47"/>
      <c r="I26" s="33"/>
    </row>
    <row r="27" spans="1:9" x14ac:dyDescent="0.25">
      <c r="B27" s="2"/>
      <c r="D27" s="29"/>
      <c r="E27" s="13"/>
      <c r="F27" s="48"/>
      <c r="H27" s="47"/>
      <c r="I27" s="33"/>
    </row>
    <row r="28" spans="1:9" ht="18.75" x14ac:dyDescent="0.3">
      <c r="A28" s="49" t="s">
        <v>11</v>
      </c>
      <c r="B28" s="2"/>
      <c r="D28" s="29"/>
      <c r="E28" s="13"/>
      <c r="F28" s="5"/>
      <c r="H28" s="47"/>
      <c r="I28" s="33"/>
    </row>
    <row r="29" spans="1:9" x14ac:dyDescent="0.25">
      <c r="A29" s="3" t="s">
        <v>29</v>
      </c>
      <c r="B29" s="2">
        <v>6548</v>
      </c>
      <c r="C29" s="5">
        <v>6744</v>
      </c>
      <c r="D29" s="29">
        <f>C29/B29-1</f>
        <v>2.9932803909590744E-2</v>
      </c>
      <c r="E29" s="13">
        <f t="shared" si="1"/>
        <v>196</v>
      </c>
      <c r="F29" s="5"/>
      <c r="G29" s="46"/>
      <c r="H29" s="47"/>
      <c r="I29" s="33"/>
    </row>
    <row r="30" spans="1:9" x14ac:dyDescent="0.25">
      <c r="A30" s="3" t="s">
        <v>24</v>
      </c>
      <c r="B30" s="2">
        <v>7520</v>
      </c>
      <c r="C30" s="2">
        <v>7746</v>
      </c>
      <c r="D30" s="14">
        <f>C30/B30-1</f>
        <v>3.0053191489361808E-2</v>
      </c>
      <c r="E30" s="13">
        <f t="shared" si="1"/>
        <v>226</v>
      </c>
      <c r="F30" s="2"/>
      <c r="G30" s="46"/>
      <c r="H30" s="47"/>
      <c r="I30" s="33"/>
    </row>
    <row r="31" spans="1:9" x14ac:dyDescent="0.25">
      <c r="B31" s="2"/>
      <c r="C31" s="2"/>
      <c r="D31" s="50"/>
      <c r="E31" s="13"/>
      <c r="F31" s="2"/>
      <c r="G31" s="46"/>
      <c r="H31" s="47"/>
      <c r="I31" s="33"/>
    </row>
    <row r="32" spans="1:9" x14ac:dyDescent="0.25">
      <c r="A32" s="34" t="s">
        <v>30</v>
      </c>
      <c r="B32" s="36">
        <v>4046</v>
      </c>
      <c r="C32" s="36">
        <v>4188</v>
      </c>
      <c r="D32" s="37">
        <f>C32/B32-1</f>
        <v>3.5096391497775548E-2</v>
      </c>
      <c r="E32" s="38">
        <f t="shared" si="1"/>
        <v>142</v>
      </c>
      <c r="F32" s="2"/>
      <c r="G32" s="46"/>
      <c r="H32" s="47"/>
      <c r="I32" s="33"/>
    </row>
    <row r="33" spans="1:22" x14ac:dyDescent="0.25">
      <c r="A33" s="39" t="s">
        <v>27</v>
      </c>
      <c r="B33" s="40">
        <v>150</v>
      </c>
      <c r="C33" s="41">
        <v>150</v>
      </c>
      <c r="D33" s="51"/>
      <c r="E33" s="43">
        <f t="shared" si="1"/>
        <v>0</v>
      </c>
      <c r="F33" s="2"/>
      <c r="G33" s="17"/>
      <c r="H33" s="15"/>
      <c r="I33" s="33"/>
    </row>
    <row r="34" spans="1:22" x14ac:dyDescent="0.25">
      <c r="B34" s="52"/>
      <c r="C34" s="45"/>
      <c r="D34" s="29"/>
      <c r="E34" s="13"/>
      <c r="F34" s="5"/>
      <c r="G34" s="53"/>
      <c r="H34" s="47"/>
      <c r="I34" s="33"/>
    </row>
    <row r="35" spans="1:22" x14ac:dyDescent="0.25">
      <c r="A35" s="6" t="s">
        <v>31</v>
      </c>
      <c r="B35" s="52"/>
      <c r="C35" s="45"/>
      <c r="D35" s="29"/>
      <c r="E35" s="13"/>
      <c r="F35" s="5"/>
      <c r="G35" s="54"/>
      <c r="H35" s="47"/>
      <c r="I35" s="33"/>
      <c r="V35" s="53" t="s">
        <v>32</v>
      </c>
    </row>
    <row r="36" spans="1:22" x14ac:dyDescent="0.25">
      <c r="A36" s="3" t="s">
        <v>33</v>
      </c>
      <c r="B36" s="55">
        <v>20.010000000000002</v>
      </c>
      <c r="C36" s="56">
        <v>20.61</v>
      </c>
      <c r="D36" s="29">
        <f>C36/B36-1</f>
        <v>2.998500749625177E-2</v>
      </c>
      <c r="E36" s="13">
        <f t="shared" si="1"/>
        <v>0.59999999999999787</v>
      </c>
      <c r="F36" s="5"/>
      <c r="G36" s="54"/>
      <c r="H36" s="47"/>
      <c r="I36" s="33"/>
    </row>
    <row r="37" spans="1:22" x14ac:dyDescent="0.25">
      <c r="B37" s="2"/>
      <c r="D37" s="29"/>
      <c r="E37" s="13"/>
      <c r="F37" s="5"/>
      <c r="G37" s="46"/>
      <c r="H37" s="47"/>
      <c r="I37" s="33"/>
    </row>
    <row r="38" spans="1:22" ht="18.75" x14ac:dyDescent="0.3">
      <c r="A38" s="57" t="s">
        <v>12</v>
      </c>
      <c r="B38" s="2"/>
      <c r="D38" s="29"/>
      <c r="E38" s="13"/>
      <c r="F38" s="5"/>
      <c r="G38" s="46"/>
      <c r="H38" s="47"/>
      <c r="I38" s="33"/>
    </row>
    <row r="39" spans="1:22" x14ac:dyDescent="0.25">
      <c r="A39" s="3" t="s">
        <v>29</v>
      </c>
      <c r="B39" s="2">
        <v>8205</v>
      </c>
      <c r="C39" s="5">
        <v>8599</v>
      </c>
      <c r="D39" s="29">
        <f>C39/B39-1</f>
        <v>4.8019500304692153E-2</v>
      </c>
      <c r="E39" s="13">
        <f t="shared" si="1"/>
        <v>394</v>
      </c>
      <c r="F39" s="5"/>
      <c r="G39" s="46"/>
      <c r="H39" s="47"/>
      <c r="I39" s="33"/>
    </row>
    <row r="40" spans="1:22" x14ac:dyDescent="0.25">
      <c r="A40" s="3" t="s">
        <v>24</v>
      </c>
      <c r="B40" s="2">
        <v>10910</v>
      </c>
      <c r="C40" s="5">
        <v>10921</v>
      </c>
      <c r="D40" s="29">
        <f>C40/B40-1</f>
        <v>1.0082493125573855E-3</v>
      </c>
      <c r="E40" s="13">
        <f t="shared" si="1"/>
        <v>11</v>
      </c>
      <c r="F40" s="5"/>
      <c r="G40" s="46"/>
      <c r="H40" s="47"/>
      <c r="I40" s="33"/>
    </row>
    <row r="41" spans="1:22" x14ac:dyDescent="0.25">
      <c r="B41" s="2"/>
      <c r="D41" s="58"/>
      <c r="E41" s="13"/>
      <c r="F41" s="5"/>
      <c r="G41" s="46"/>
      <c r="H41" s="47"/>
      <c r="I41" s="33"/>
    </row>
    <row r="42" spans="1:22" x14ac:dyDescent="0.25">
      <c r="A42" s="34" t="s">
        <v>34</v>
      </c>
      <c r="B42" s="36">
        <v>3670</v>
      </c>
      <c r="C42" s="59">
        <v>3803</v>
      </c>
      <c r="D42" s="60">
        <f>C42/B42-1</f>
        <v>3.6239782016348698E-2</v>
      </c>
      <c r="E42" s="38">
        <f t="shared" si="1"/>
        <v>133</v>
      </c>
      <c r="F42" s="5"/>
      <c r="G42" s="46"/>
      <c r="H42" s="47"/>
      <c r="I42" s="33"/>
    </row>
    <row r="43" spans="1:22" x14ac:dyDescent="0.25">
      <c r="A43" s="39" t="s">
        <v>27</v>
      </c>
      <c r="B43" s="41">
        <v>200</v>
      </c>
      <c r="C43" s="61">
        <v>200</v>
      </c>
      <c r="D43" s="62">
        <f>C43/B43-1</f>
        <v>0</v>
      </c>
      <c r="E43" s="43">
        <f t="shared" si="1"/>
        <v>0</v>
      </c>
      <c r="F43" s="5"/>
      <c r="G43" s="17"/>
      <c r="H43" s="15"/>
      <c r="I43" s="33"/>
    </row>
    <row r="44" spans="1:22" x14ac:dyDescent="0.25">
      <c r="B44" s="52"/>
      <c r="C44" s="45"/>
      <c r="D44" s="29"/>
      <c r="E44" s="13"/>
      <c r="F44" s="5"/>
      <c r="G44" s="53"/>
      <c r="H44" s="47"/>
      <c r="I44" s="33"/>
    </row>
    <row r="45" spans="1:22" x14ac:dyDescent="0.25">
      <c r="A45" s="6" t="s">
        <v>35</v>
      </c>
      <c r="B45" s="44"/>
      <c r="C45" s="63"/>
      <c r="D45" s="29"/>
      <c r="E45" s="13"/>
      <c r="F45" s="5"/>
      <c r="G45" s="53"/>
      <c r="H45" s="47"/>
      <c r="I45" s="33"/>
    </row>
    <row r="46" spans="1:22" x14ac:dyDescent="0.25">
      <c r="A46" s="3" t="s">
        <v>36</v>
      </c>
      <c r="B46" s="52">
        <v>167</v>
      </c>
      <c r="C46" s="45">
        <v>176</v>
      </c>
      <c r="D46" s="29">
        <f>C46/B46-1</f>
        <v>5.3892215568862367E-2</v>
      </c>
      <c r="E46" s="13">
        <f t="shared" si="1"/>
        <v>9</v>
      </c>
      <c r="F46" s="5"/>
      <c r="G46" s="53"/>
      <c r="H46" s="47"/>
      <c r="I46" s="33"/>
    </row>
    <row r="47" spans="1:22" x14ac:dyDescent="0.25">
      <c r="B47" s="2"/>
      <c r="D47" s="29"/>
      <c r="E47" s="13"/>
      <c r="F47" s="5"/>
      <c r="G47" s="46"/>
      <c r="H47" s="47"/>
      <c r="I47" s="33"/>
    </row>
    <row r="48" spans="1:22" ht="18.75" x14ac:dyDescent="0.3">
      <c r="A48" s="1" t="s">
        <v>13</v>
      </c>
      <c r="B48" s="2"/>
      <c r="D48" s="29"/>
      <c r="E48" s="13"/>
      <c r="F48" s="5"/>
      <c r="G48" s="46"/>
      <c r="H48" s="47"/>
      <c r="I48" s="33"/>
      <c r="N48" s="64" t="s">
        <v>37</v>
      </c>
      <c r="O48" s="64"/>
      <c r="P48" s="64"/>
      <c r="Q48" s="64"/>
    </row>
    <row r="49" spans="1:18" ht="16.5" thickBot="1" x14ac:dyDescent="0.3">
      <c r="A49" s="3" t="s">
        <v>29</v>
      </c>
      <c r="B49" s="2">
        <v>5956</v>
      </c>
      <c r="C49" s="5">
        <v>6150</v>
      </c>
      <c r="D49" s="29">
        <f>C49/B49-1</f>
        <v>3.2572196104768247E-2</v>
      </c>
      <c r="E49" s="13">
        <f t="shared" si="1"/>
        <v>194</v>
      </c>
      <c r="F49" s="5"/>
      <c r="G49" s="46"/>
      <c r="H49" s="47"/>
      <c r="I49" s="33"/>
      <c r="N49" s="65" t="s">
        <v>38</v>
      </c>
      <c r="O49" s="66"/>
      <c r="P49" s="66" t="s">
        <v>39</v>
      </c>
      <c r="Q49" s="66"/>
    </row>
    <row r="50" spans="1:18" x14ac:dyDescent="0.25">
      <c r="A50" s="3" t="s">
        <v>24</v>
      </c>
      <c r="B50" s="2">
        <v>7350</v>
      </c>
      <c r="C50" s="5">
        <v>7569</v>
      </c>
      <c r="D50" s="29">
        <f>C50/B50-1</f>
        <v>2.9795918367346852E-2</v>
      </c>
      <c r="E50" s="13">
        <f t="shared" si="1"/>
        <v>219</v>
      </c>
      <c r="F50" s="5"/>
      <c r="G50" s="46"/>
      <c r="H50" s="47"/>
      <c r="I50" s="33"/>
      <c r="M50" s="67"/>
      <c r="N50" s="68">
        <f>3006+318+1256+220</f>
        <v>4800</v>
      </c>
      <c r="O50" s="68">
        <f>+N50/2</f>
        <v>2400</v>
      </c>
      <c r="P50" s="69" t="s">
        <v>40</v>
      </c>
      <c r="Q50" s="69"/>
      <c r="R50" s="70"/>
    </row>
    <row r="51" spans="1:18" x14ac:dyDescent="0.25">
      <c r="A51" s="71"/>
      <c r="B51" s="52"/>
      <c r="D51" s="58"/>
      <c r="E51" s="13"/>
      <c r="F51" s="5"/>
      <c r="G51" s="46"/>
      <c r="H51" s="47"/>
      <c r="I51" s="33"/>
      <c r="L51" s="33"/>
      <c r="M51" s="72"/>
      <c r="N51" s="73"/>
      <c r="O51" s="73"/>
      <c r="R51" s="74"/>
    </row>
    <row r="52" spans="1:18" x14ac:dyDescent="0.25">
      <c r="A52" s="34" t="s">
        <v>41</v>
      </c>
      <c r="B52" s="36">
        <v>4410</v>
      </c>
      <c r="C52" s="59">
        <v>4586</v>
      </c>
      <c r="D52" s="60">
        <f>C52/B52-1</f>
        <v>3.990929705215418E-2</v>
      </c>
      <c r="E52" s="38">
        <f t="shared" si="1"/>
        <v>176</v>
      </c>
      <c r="F52" s="5"/>
      <c r="G52" s="46"/>
      <c r="H52" s="47"/>
      <c r="I52" s="33"/>
      <c r="L52" s="33"/>
      <c r="M52" s="72">
        <v>3637</v>
      </c>
      <c r="N52" s="73" t="e">
        <f>3637+#REF!+#REF!+#REF!</f>
        <v>#REF!</v>
      </c>
      <c r="O52" s="73" t="e">
        <f>+N52/2</f>
        <v>#REF!</v>
      </c>
      <c r="P52" s="3" t="s">
        <v>42</v>
      </c>
      <c r="R52" s="74"/>
    </row>
    <row r="53" spans="1:18" ht="16.5" thickBot="1" x14ac:dyDescent="0.3">
      <c r="A53" s="39" t="s">
        <v>27</v>
      </c>
      <c r="B53" s="41">
        <v>150</v>
      </c>
      <c r="C53" s="41">
        <v>150</v>
      </c>
      <c r="D53" s="62">
        <f>C53/B53-1</f>
        <v>0</v>
      </c>
      <c r="E53" s="43">
        <f t="shared" si="1"/>
        <v>0</v>
      </c>
      <c r="F53" s="5"/>
      <c r="G53" s="17"/>
      <c r="H53" s="15"/>
      <c r="I53" s="33"/>
      <c r="M53" s="75"/>
      <c r="N53" s="76"/>
      <c r="O53" s="77">
        <f>2344+392</f>
        <v>2736</v>
      </c>
      <c r="P53" s="77" t="s">
        <v>43</v>
      </c>
      <c r="Q53" s="77"/>
      <c r="R53" s="78"/>
    </row>
    <row r="54" spans="1:18" x14ac:dyDescent="0.25">
      <c r="B54" s="52"/>
      <c r="C54" s="45"/>
      <c r="D54" s="29"/>
      <c r="E54" s="13"/>
      <c r="F54" s="5"/>
      <c r="G54" s="53"/>
      <c r="H54" s="47"/>
      <c r="I54" s="33"/>
      <c r="N54" s="73"/>
    </row>
    <row r="55" spans="1:18" x14ac:dyDescent="0.25">
      <c r="A55" s="6" t="s">
        <v>44</v>
      </c>
      <c r="B55" s="52"/>
      <c r="C55" s="45"/>
      <c r="D55" s="29"/>
      <c r="E55" s="13"/>
      <c r="F55" s="5"/>
      <c r="G55" s="53"/>
      <c r="H55" s="47"/>
      <c r="I55" s="33"/>
      <c r="N55" s="73"/>
    </row>
    <row r="56" spans="1:18" x14ac:dyDescent="0.25">
      <c r="A56" s="3" t="s">
        <v>45</v>
      </c>
      <c r="B56" s="32">
        <v>85</v>
      </c>
      <c r="C56" s="2">
        <v>110</v>
      </c>
      <c r="D56" s="14">
        <f>C56/B56-1</f>
        <v>0.29411764705882359</v>
      </c>
      <c r="E56" s="13">
        <f t="shared" si="1"/>
        <v>25</v>
      </c>
      <c r="F56" s="5"/>
      <c r="G56" s="46"/>
      <c r="H56" s="47"/>
      <c r="I56" s="33"/>
      <c r="N56" s="72"/>
      <c r="O56" s="74"/>
    </row>
    <row r="57" spans="1:18" x14ac:dyDescent="0.25">
      <c r="A57" s="79"/>
      <c r="B57" s="2"/>
      <c r="D57" s="29"/>
      <c r="E57" s="13"/>
      <c r="F57" s="5"/>
      <c r="G57" s="46"/>
      <c r="H57" s="47"/>
      <c r="I57" s="33"/>
      <c r="N57" s="72"/>
      <c r="O57" s="74"/>
    </row>
    <row r="58" spans="1:18" x14ac:dyDescent="0.25">
      <c r="A58" s="79"/>
      <c r="B58" s="2"/>
      <c r="D58" s="29"/>
      <c r="E58" s="13"/>
      <c r="F58" s="5"/>
      <c r="G58" s="46"/>
      <c r="H58" s="47"/>
      <c r="I58" s="33"/>
      <c r="N58" s="72"/>
      <c r="O58" s="74"/>
    </row>
    <row r="59" spans="1:18" ht="18.75" x14ac:dyDescent="0.3">
      <c r="A59" s="1" t="s">
        <v>14</v>
      </c>
      <c r="B59" s="2"/>
      <c r="D59" s="29"/>
      <c r="E59" s="13"/>
      <c r="F59" s="5"/>
      <c r="G59" s="46"/>
      <c r="H59" s="47"/>
      <c r="I59" s="33"/>
      <c r="N59" s="80" t="e">
        <f>+#REF!+#REF!+#REF!+#REF!</f>
        <v>#REF!</v>
      </c>
      <c r="O59" s="74" t="e">
        <f>+N59/2</f>
        <v>#REF!</v>
      </c>
    </row>
    <row r="60" spans="1:18" ht="16.5" thickBot="1" x14ac:dyDescent="0.3">
      <c r="A60" s="3" t="s">
        <v>29</v>
      </c>
      <c r="B60" s="2">
        <v>5682</v>
      </c>
      <c r="C60" s="5">
        <v>5880</v>
      </c>
      <c r="D60" s="29">
        <f>C60/B60-1</f>
        <v>3.4846884899683239E-2</v>
      </c>
      <c r="E60" s="13">
        <f t="shared" si="1"/>
        <v>198</v>
      </c>
      <c r="F60" s="5"/>
      <c r="G60" s="46"/>
      <c r="H60" s="47"/>
      <c r="I60" s="33"/>
      <c r="N60" s="81" t="e">
        <f>+#REF!+#REF!+#REF!+#REF!</f>
        <v>#REF!</v>
      </c>
      <c r="O60" s="78" t="e">
        <f>+N60/2</f>
        <v>#REF!</v>
      </c>
    </row>
    <row r="61" spans="1:18" x14ac:dyDescent="0.25">
      <c r="A61" s="3" t="s">
        <v>24</v>
      </c>
      <c r="B61" s="2">
        <v>7378</v>
      </c>
      <c r="C61" s="5">
        <v>7636</v>
      </c>
      <c r="D61" s="29">
        <f>C61/B61-1</f>
        <v>3.4968826240173501E-2</v>
      </c>
      <c r="E61" s="13">
        <f t="shared" si="1"/>
        <v>258</v>
      </c>
      <c r="F61" s="5"/>
      <c r="G61" s="46"/>
      <c r="H61" s="47"/>
      <c r="I61" s="33"/>
    </row>
    <row r="62" spans="1:18" x14ac:dyDescent="0.25">
      <c r="B62" s="2"/>
      <c r="D62" s="58"/>
      <c r="E62" s="13"/>
      <c r="F62" s="5"/>
      <c r="G62" s="46"/>
      <c r="H62" s="47"/>
      <c r="I62" s="33"/>
    </row>
    <row r="63" spans="1:18" x14ac:dyDescent="0.25">
      <c r="A63" s="34" t="s">
        <v>46</v>
      </c>
      <c r="B63" s="36">
        <v>4092</v>
      </c>
      <c r="C63" s="36">
        <v>4214</v>
      </c>
      <c r="D63" s="60">
        <f>C63/B63-1</f>
        <v>2.9814271749755594E-2</v>
      </c>
      <c r="E63" s="38">
        <f t="shared" si="1"/>
        <v>122</v>
      </c>
      <c r="F63" s="5"/>
      <c r="G63" s="46"/>
      <c r="H63" s="47"/>
      <c r="I63" s="33"/>
    </row>
    <row r="64" spans="1:18" x14ac:dyDescent="0.25">
      <c r="A64" s="39" t="s">
        <v>27</v>
      </c>
      <c r="B64" s="41">
        <v>300</v>
      </c>
      <c r="C64" s="41">
        <v>300</v>
      </c>
      <c r="D64" s="62">
        <f>C64/B64-1</f>
        <v>0</v>
      </c>
      <c r="E64" s="43">
        <f t="shared" si="1"/>
        <v>0</v>
      </c>
      <c r="F64" s="5"/>
      <c r="G64" s="17"/>
      <c r="H64" s="15"/>
      <c r="I64" s="33"/>
    </row>
    <row r="65" spans="1:9" x14ac:dyDescent="0.25">
      <c r="A65" s="23"/>
      <c r="B65" s="82"/>
      <c r="C65" s="83"/>
      <c r="D65" s="29"/>
      <c r="E65" s="13"/>
      <c r="F65" s="5"/>
      <c r="G65" s="53"/>
      <c r="H65" s="47"/>
      <c r="I65" s="33"/>
    </row>
    <row r="66" spans="1:9" x14ac:dyDescent="0.25">
      <c r="A66" s="3" t="s">
        <v>47</v>
      </c>
      <c r="B66" s="84">
        <v>1500</v>
      </c>
      <c r="C66" s="85">
        <v>1500</v>
      </c>
      <c r="D66" s="29">
        <f>C66/B66-1</f>
        <v>0</v>
      </c>
      <c r="E66" s="13">
        <f t="shared" si="1"/>
        <v>0</v>
      </c>
      <c r="F66" s="5"/>
      <c r="G66" s="53"/>
      <c r="H66" s="47"/>
      <c r="I66" s="33"/>
    </row>
    <row r="67" spans="1:9" x14ac:dyDescent="0.25">
      <c r="B67" s="84"/>
      <c r="C67" s="85"/>
      <c r="D67" s="29"/>
      <c r="E67" s="13"/>
      <c r="F67" s="5"/>
      <c r="G67" s="53"/>
      <c r="H67" s="47"/>
      <c r="I67" s="33"/>
    </row>
    <row r="68" spans="1:9" ht="18.75" x14ac:dyDescent="0.3">
      <c r="A68" s="86" t="s">
        <v>16</v>
      </c>
      <c r="B68" s="84"/>
      <c r="C68" s="85"/>
      <c r="D68" s="29"/>
      <c r="E68" s="13"/>
      <c r="F68" s="5"/>
      <c r="G68" s="53"/>
      <c r="H68" s="47"/>
      <c r="I68" s="33"/>
    </row>
    <row r="69" spans="1:9" x14ac:dyDescent="0.25">
      <c r="A69" s="3" t="s">
        <v>48</v>
      </c>
      <c r="B69" s="2">
        <v>4900</v>
      </c>
      <c r="C69" s="2">
        <v>5000</v>
      </c>
      <c r="D69" s="87">
        <f>SUM(C69-B69)/B69</f>
        <v>2.0408163265306121E-2</v>
      </c>
      <c r="E69" s="13">
        <f t="shared" si="1"/>
        <v>100</v>
      </c>
      <c r="F69" s="13"/>
      <c r="G69" s="29"/>
      <c r="H69" s="15"/>
      <c r="I69" s="33"/>
    </row>
    <row r="70" spans="1:9" x14ac:dyDescent="0.25">
      <c r="A70" s="3" t="s">
        <v>49</v>
      </c>
      <c r="B70" s="2">
        <v>6500</v>
      </c>
      <c r="C70" s="2">
        <v>6600</v>
      </c>
      <c r="D70" s="87">
        <f>SUM(C70-B70)/B70</f>
        <v>1.5384615384615385E-2</v>
      </c>
      <c r="E70" s="13">
        <f t="shared" si="1"/>
        <v>100</v>
      </c>
      <c r="H70" s="47"/>
      <c r="I70" s="33"/>
    </row>
    <row r="71" spans="1:9" x14ac:dyDescent="0.25">
      <c r="B71" s="2"/>
      <c r="C71" s="2"/>
      <c r="D71" s="87"/>
      <c r="E71" s="13"/>
      <c r="H71" s="47"/>
      <c r="I71" s="33"/>
    </row>
    <row r="72" spans="1:9" x14ac:dyDescent="0.25">
      <c r="A72" s="34" t="s">
        <v>50</v>
      </c>
      <c r="B72" s="36">
        <v>1240</v>
      </c>
      <c r="C72" s="36">
        <v>1420</v>
      </c>
      <c r="D72" s="88">
        <f>SUM(C72-B72)/B72</f>
        <v>0.14516129032258066</v>
      </c>
      <c r="E72" s="38">
        <f t="shared" si="1"/>
        <v>180</v>
      </c>
      <c r="F72" s="5"/>
      <c r="G72" s="46"/>
      <c r="H72" s="47"/>
      <c r="I72" s="33"/>
    </row>
    <row r="73" spans="1:9" x14ac:dyDescent="0.25">
      <c r="A73" s="39"/>
      <c r="B73" s="41"/>
      <c r="C73" s="41"/>
      <c r="D73" s="89"/>
      <c r="E73" s="43">
        <f t="shared" si="1"/>
        <v>0</v>
      </c>
      <c r="F73" s="5"/>
      <c r="G73" s="46"/>
      <c r="H73" s="47"/>
      <c r="I73" s="33"/>
    </row>
    <row r="74" spans="1:9" x14ac:dyDescent="0.25">
      <c r="A74" s="3" t="s">
        <v>32</v>
      </c>
      <c r="B74" s="2"/>
      <c r="D74" s="29"/>
      <c r="E74" s="13"/>
      <c r="F74" s="5"/>
      <c r="G74" s="46"/>
      <c r="H74" s="47"/>
      <c r="I74" s="33"/>
    </row>
    <row r="75" spans="1:9" ht="18.75" x14ac:dyDescent="0.3">
      <c r="A75" s="1" t="s">
        <v>15</v>
      </c>
      <c r="B75" s="2"/>
      <c r="D75" s="29"/>
      <c r="E75" s="13"/>
      <c r="F75" s="5"/>
      <c r="G75" s="46"/>
      <c r="H75" s="47"/>
      <c r="I75" s="33"/>
    </row>
    <row r="76" spans="1:9" x14ac:dyDescent="0.25">
      <c r="A76" s="3" t="s">
        <v>23</v>
      </c>
      <c r="B76" s="2">
        <v>6400</v>
      </c>
      <c r="C76" s="2">
        <v>6500</v>
      </c>
      <c r="D76" s="14">
        <f>C76/B76-1</f>
        <v>1.5625E-2</v>
      </c>
      <c r="E76" s="13">
        <f t="shared" si="1"/>
        <v>100</v>
      </c>
      <c r="F76" s="5"/>
      <c r="G76" s="46"/>
      <c r="H76" s="47"/>
      <c r="I76" s="33"/>
    </row>
    <row r="77" spans="1:9" x14ac:dyDescent="0.25">
      <c r="A77" s="3" t="s">
        <v>24</v>
      </c>
      <c r="B77" s="2">
        <v>7200</v>
      </c>
      <c r="C77" s="2">
        <v>7300</v>
      </c>
      <c r="D77" s="14">
        <f>C77/B77-1</f>
        <v>1.388888888888884E-2</v>
      </c>
      <c r="E77" s="13">
        <f t="shared" si="1"/>
        <v>100</v>
      </c>
      <c r="F77" s="5"/>
      <c r="G77" s="46"/>
      <c r="H77" s="47"/>
      <c r="I77" s="33"/>
    </row>
    <row r="78" spans="1:9" x14ac:dyDescent="0.25">
      <c r="B78" s="2"/>
      <c r="D78" s="58"/>
      <c r="E78" s="13"/>
      <c r="F78" s="5"/>
      <c r="G78" s="46"/>
      <c r="H78" s="47"/>
      <c r="I78" s="33"/>
    </row>
    <row r="79" spans="1:9" x14ac:dyDescent="0.25">
      <c r="A79" s="34" t="s">
        <v>51</v>
      </c>
      <c r="B79" s="36">
        <v>3840</v>
      </c>
      <c r="C79" s="59">
        <v>3840</v>
      </c>
      <c r="D79" s="60">
        <f>C79/B79-1</f>
        <v>0</v>
      </c>
      <c r="E79" s="38">
        <f t="shared" si="1"/>
        <v>0</v>
      </c>
      <c r="F79" s="5"/>
      <c r="G79" s="46"/>
      <c r="H79" s="47"/>
    </row>
    <row r="80" spans="1:9" x14ac:dyDescent="0.25">
      <c r="A80" s="39" t="s">
        <v>52</v>
      </c>
      <c r="B80" s="41">
        <v>400</v>
      </c>
      <c r="C80" s="61">
        <v>400</v>
      </c>
      <c r="D80" s="62">
        <f>C80/B80-1</f>
        <v>0</v>
      </c>
      <c r="E80" s="43">
        <f t="shared" si="1"/>
        <v>0</v>
      </c>
      <c r="F80" s="5"/>
      <c r="G80" s="17"/>
      <c r="H80" s="15"/>
      <c r="I80" s="33"/>
    </row>
    <row r="81" spans="1:9" x14ac:dyDescent="0.25">
      <c r="B81" s="52"/>
      <c r="C81" s="45"/>
      <c r="D81" s="29"/>
      <c r="E81" s="13"/>
      <c r="F81" s="5"/>
      <c r="H81" s="90"/>
      <c r="I81" s="33"/>
    </row>
    <row r="82" spans="1:9" x14ac:dyDescent="0.25">
      <c r="A82" s="6" t="s">
        <v>53</v>
      </c>
      <c r="B82" s="32">
        <v>310</v>
      </c>
      <c r="C82" s="5">
        <v>310</v>
      </c>
      <c r="D82" s="29"/>
      <c r="E82" s="13">
        <f t="shared" si="1"/>
        <v>0</v>
      </c>
      <c r="H82" s="47"/>
    </row>
    <row r="83" spans="1:9" x14ac:dyDescent="0.25">
      <c r="A83" s="33" t="s">
        <v>54</v>
      </c>
      <c r="B83" s="32"/>
      <c r="D83" s="29"/>
      <c r="H83" s="47"/>
      <c r="I83" s="33"/>
    </row>
    <row r="84" spans="1:9" x14ac:dyDescent="0.25">
      <c r="A84" s="33"/>
      <c r="B84" s="32"/>
      <c r="D84" s="29"/>
      <c r="H84" s="47"/>
      <c r="I84" s="33"/>
    </row>
    <row r="85" spans="1:9" ht="48" customHeight="1" x14ac:dyDescent="0.25">
      <c r="A85" s="276" t="s">
        <v>55</v>
      </c>
      <c r="B85" s="276"/>
      <c r="C85" s="276"/>
      <c r="D85" s="276"/>
    </row>
    <row r="86" spans="1:9" x14ac:dyDescent="0.25">
      <c r="B86" s="3"/>
    </row>
    <row r="87" spans="1:9" x14ac:dyDescent="0.25">
      <c r="A87" s="3" t="s">
        <v>56</v>
      </c>
    </row>
    <row r="88" spans="1:9" x14ac:dyDescent="0.25">
      <c r="A88" s="33"/>
    </row>
  </sheetData>
  <mergeCells count="1">
    <mergeCell ref="A85:D85"/>
  </mergeCells>
  <pageMargins left="0.7" right="0.7" top="0.75" bottom="0.75" header="0.3" footer="0.3"/>
  <pageSetup scale="98" orientation="portrait" r:id="rId1"/>
  <headerFooter>
    <oddHeader>&amp;R2A</oddHeader>
  </headerFooter>
  <rowBreaks count="2" manualBreakCount="2">
    <brk id="37" max="16383" man="1"/>
    <brk id="74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5EE6-8AAB-4B1D-8CA9-E50671202D64}">
  <dimension ref="A1:U54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41.28515625" style="3" customWidth="1"/>
    <col min="2" max="2" width="15.85546875" style="3" customWidth="1"/>
    <col min="3" max="3" width="17.42578125" style="3" customWidth="1"/>
    <col min="4" max="5" width="17.42578125" style="141" customWidth="1"/>
    <col min="6" max="6" width="19.28515625" style="47" customWidth="1"/>
    <col min="7" max="7" width="10.5703125" style="3" bestFit="1" customWidth="1"/>
    <col min="8" max="8" width="11.85546875" style="3" customWidth="1"/>
    <col min="9" max="16384" width="9.140625" style="3"/>
  </cols>
  <sheetData>
    <row r="1" spans="1:10" ht="15" customHeight="1" x14ac:dyDescent="0.25">
      <c r="A1" s="91" t="s">
        <v>57</v>
      </c>
      <c r="B1" s="92"/>
      <c r="C1" s="92"/>
      <c r="D1" s="92"/>
      <c r="E1" s="92"/>
      <c r="F1" s="92"/>
      <c r="G1" s="92"/>
      <c r="H1" s="92"/>
      <c r="I1" s="93"/>
      <c r="J1" s="92"/>
    </row>
    <row r="2" spans="1:10" ht="15" customHeight="1" thickBot="1" x14ac:dyDescent="0.3">
      <c r="A2" s="91" t="s">
        <v>58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 x14ac:dyDescent="0.25">
      <c r="A3" s="91"/>
      <c r="B3" s="94" t="s">
        <v>59</v>
      </c>
      <c r="C3" s="95" t="s">
        <v>60</v>
      </c>
      <c r="D3" s="96" t="s">
        <v>61</v>
      </c>
      <c r="E3" s="94" t="s">
        <v>59</v>
      </c>
      <c r="F3" s="95" t="s">
        <v>60</v>
      </c>
      <c r="G3" s="264" t="s">
        <v>62</v>
      </c>
      <c r="H3" s="95" t="s">
        <v>4</v>
      </c>
      <c r="I3" s="97" t="s">
        <v>5</v>
      </c>
      <c r="J3" s="92"/>
    </row>
    <row r="4" spans="1:10" ht="15" customHeight="1" thickBot="1" x14ac:dyDescent="0.3">
      <c r="A4" s="91"/>
      <c r="B4" s="98" t="s">
        <v>63</v>
      </c>
      <c r="C4" s="99" t="s">
        <v>64</v>
      </c>
      <c r="D4" s="100" t="s">
        <v>65</v>
      </c>
      <c r="E4" s="98" t="s">
        <v>66</v>
      </c>
      <c r="F4" s="99" t="s">
        <v>67</v>
      </c>
      <c r="G4" s="265" t="s">
        <v>68</v>
      </c>
      <c r="H4" s="99" t="s">
        <v>9</v>
      </c>
      <c r="I4" s="101" t="s">
        <v>9</v>
      </c>
      <c r="J4" s="92"/>
    </row>
    <row r="5" spans="1:10" ht="15" customHeight="1" x14ac:dyDescent="0.25">
      <c r="A5" s="91"/>
      <c r="B5" s="240"/>
      <c r="C5" s="125"/>
      <c r="D5" s="103"/>
      <c r="E5" s="241"/>
      <c r="F5" s="242"/>
      <c r="G5" s="103"/>
      <c r="H5" s="173"/>
      <c r="I5" s="174"/>
      <c r="J5" s="105"/>
    </row>
    <row r="6" spans="1:10" ht="15" customHeight="1" x14ac:dyDescent="0.25">
      <c r="A6" s="91" t="s">
        <v>10</v>
      </c>
      <c r="B6" s="162">
        <v>24</v>
      </c>
      <c r="C6" s="106">
        <v>12.5</v>
      </c>
      <c r="D6" s="107">
        <f>C6*B6</f>
        <v>300</v>
      </c>
      <c r="E6" s="243">
        <v>24</v>
      </c>
      <c r="F6" s="244">
        <v>13.34</v>
      </c>
      <c r="G6" s="107">
        <f>F6*E6</f>
        <v>320.15999999999997</v>
      </c>
      <c r="H6" s="140">
        <f>G6/D6-1</f>
        <v>6.7199999999999926E-2</v>
      </c>
      <c r="I6" s="246">
        <f>G6-D6</f>
        <v>20.159999999999968</v>
      </c>
      <c r="J6" s="105"/>
    </row>
    <row r="7" spans="1:10" ht="15" customHeight="1" x14ac:dyDescent="0.25">
      <c r="A7" s="111"/>
      <c r="B7" s="162"/>
      <c r="C7" s="102"/>
      <c r="D7" s="107"/>
      <c r="E7" s="247"/>
      <c r="F7" s="128"/>
      <c r="G7" s="107"/>
      <c r="H7" s="140"/>
      <c r="I7" s="246"/>
      <c r="J7" s="105"/>
    </row>
    <row r="8" spans="1:10" ht="15" customHeight="1" x14ac:dyDescent="0.25">
      <c r="A8" s="91" t="s">
        <v>69</v>
      </c>
      <c r="B8" s="162">
        <v>44</v>
      </c>
      <c r="C8" s="106">
        <v>8.5</v>
      </c>
      <c r="D8" s="107">
        <f t="shared" ref="D8:D22" si="0">C8*B8</f>
        <v>374</v>
      </c>
      <c r="E8" s="243">
        <v>44</v>
      </c>
      <c r="F8" s="244">
        <v>8.5</v>
      </c>
      <c r="G8" s="107">
        <f t="shared" ref="G8:G22" si="1">F8*E8</f>
        <v>374</v>
      </c>
      <c r="H8" s="140">
        <f t="shared" ref="H8:H24" si="2">G8/D8-1</f>
        <v>0</v>
      </c>
      <c r="I8" s="246">
        <f t="shared" ref="I8:I22" si="3">G8-D8</f>
        <v>0</v>
      </c>
      <c r="J8" s="105"/>
    </row>
    <row r="9" spans="1:10" ht="15" customHeight="1" x14ac:dyDescent="0.25">
      <c r="A9" s="92"/>
      <c r="B9" s="162"/>
      <c r="C9" s="102"/>
      <c r="D9" s="107"/>
      <c r="E9" s="247"/>
      <c r="F9" s="128"/>
      <c r="G9" s="107"/>
      <c r="H9" s="140"/>
      <c r="I9" s="246"/>
      <c r="J9" s="105"/>
    </row>
    <row r="10" spans="1:10" ht="15" customHeight="1" x14ac:dyDescent="0.25">
      <c r="A10" s="91" t="s">
        <v>70</v>
      </c>
      <c r="B10" s="162">
        <v>32</v>
      </c>
      <c r="C10" s="106">
        <v>7.5</v>
      </c>
      <c r="D10" s="107">
        <f t="shared" si="0"/>
        <v>240</v>
      </c>
      <c r="E10" s="243">
        <v>32</v>
      </c>
      <c r="F10" s="244">
        <v>7.5</v>
      </c>
      <c r="G10" s="107">
        <f t="shared" si="1"/>
        <v>240</v>
      </c>
      <c r="H10" s="140">
        <f t="shared" si="2"/>
        <v>0</v>
      </c>
      <c r="I10" s="246">
        <f t="shared" si="3"/>
        <v>0</v>
      </c>
      <c r="J10" s="105"/>
    </row>
    <row r="11" spans="1:10" ht="15" customHeight="1" x14ac:dyDescent="0.25">
      <c r="A11" s="92"/>
      <c r="B11" s="162"/>
      <c r="C11" s="102"/>
      <c r="D11" s="107"/>
      <c r="E11" s="247"/>
      <c r="F11" s="248"/>
      <c r="G11" s="107"/>
      <c r="H11" s="140"/>
      <c r="I11" s="246"/>
      <c r="J11" s="105"/>
    </row>
    <row r="12" spans="1:10" ht="15" customHeight="1" x14ac:dyDescent="0.25">
      <c r="A12" s="91" t="s">
        <v>11</v>
      </c>
      <c r="B12" s="162">
        <v>24</v>
      </c>
      <c r="C12" s="106">
        <v>16.5</v>
      </c>
      <c r="D12" s="107">
        <f t="shared" si="0"/>
        <v>396</v>
      </c>
      <c r="E12" s="243">
        <v>24</v>
      </c>
      <c r="F12" s="244">
        <v>17.12</v>
      </c>
      <c r="G12" s="107">
        <f t="shared" si="1"/>
        <v>410.88</v>
      </c>
      <c r="H12" s="140">
        <f t="shared" si="2"/>
        <v>3.7575757575757596E-2</v>
      </c>
      <c r="I12" s="246">
        <f t="shared" si="3"/>
        <v>14.879999999999995</v>
      </c>
      <c r="J12" s="105"/>
    </row>
    <row r="13" spans="1:10" ht="15" customHeight="1" x14ac:dyDescent="0.25">
      <c r="A13" s="92"/>
      <c r="B13" s="162"/>
      <c r="C13" s="102"/>
      <c r="D13" s="107"/>
      <c r="E13" s="247"/>
      <c r="F13" s="248"/>
      <c r="G13" s="107"/>
      <c r="H13" s="140"/>
      <c r="I13" s="246"/>
      <c r="J13" s="105"/>
    </row>
    <row r="14" spans="1:10" ht="15" customHeight="1" x14ac:dyDescent="0.25">
      <c r="A14" s="113" t="s">
        <v>12</v>
      </c>
      <c r="B14" s="162">
        <v>26</v>
      </c>
      <c r="C14" s="106">
        <v>10</v>
      </c>
      <c r="D14" s="107">
        <f t="shared" si="0"/>
        <v>260</v>
      </c>
      <c r="E14" s="243">
        <v>26</v>
      </c>
      <c r="F14" s="244">
        <v>10</v>
      </c>
      <c r="G14" s="107">
        <f t="shared" si="1"/>
        <v>260</v>
      </c>
      <c r="H14" s="140">
        <f t="shared" si="2"/>
        <v>0</v>
      </c>
      <c r="I14" s="246">
        <f t="shared" si="3"/>
        <v>0</v>
      </c>
      <c r="J14" s="105"/>
    </row>
    <row r="15" spans="1:10" ht="15" customHeight="1" x14ac:dyDescent="0.25">
      <c r="A15" s="92"/>
      <c r="B15" s="162"/>
      <c r="C15" s="102"/>
      <c r="D15" s="107"/>
      <c r="E15" s="247"/>
      <c r="F15" s="248"/>
      <c r="G15" s="107"/>
      <c r="H15" s="140"/>
      <c r="I15" s="246"/>
      <c r="J15" s="105"/>
    </row>
    <row r="16" spans="1:10" ht="15" customHeight="1" x14ac:dyDescent="0.25">
      <c r="A16" s="91" t="s">
        <v>71</v>
      </c>
      <c r="B16" s="162">
        <v>30</v>
      </c>
      <c r="C16" s="106">
        <v>7.5</v>
      </c>
      <c r="D16" s="107">
        <f t="shared" si="0"/>
        <v>225</v>
      </c>
      <c r="E16" s="243">
        <v>30</v>
      </c>
      <c r="F16" s="245">
        <v>7.5</v>
      </c>
      <c r="G16" s="107">
        <f t="shared" si="1"/>
        <v>225</v>
      </c>
      <c r="H16" s="140">
        <f t="shared" si="2"/>
        <v>0</v>
      </c>
      <c r="I16" s="246">
        <f t="shared" si="3"/>
        <v>0</v>
      </c>
      <c r="J16" s="105"/>
    </row>
    <row r="17" spans="1:21" ht="15" customHeight="1" x14ac:dyDescent="0.25">
      <c r="A17" s="92"/>
      <c r="B17" s="162"/>
      <c r="C17" s="102"/>
      <c r="D17" s="107"/>
      <c r="E17" s="247"/>
      <c r="F17" s="248"/>
      <c r="G17" s="107"/>
      <c r="H17" s="140"/>
      <c r="I17" s="246"/>
      <c r="J17" s="105"/>
      <c r="K17" s="92"/>
      <c r="L17" s="92"/>
      <c r="M17" s="92"/>
      <c r="N17" s="92"/>
      <c r="O17" s="92"/>
      <c r="P17" s="92"/>
      <c r="Q17" s="92"/>
      <c r="R17" s="92"/>
      <c r="S17" s="92"/>
    </row>
    <row r="18" spans="1:21" ht="15" customHeight="1" x14ac:dyDescent="0.25">
      <c r="A18" s="91" t="s">
        <v>13</v>
      </c>
      <c r="B18" s="162">
        <v>18</v>
      </c>
      <c r="C18" s="106">
        <v>17.920000000000002</v>
      </c>
      <c r="D18" s="107">
        <f t="shared" si="0"/>
        <v>322.56000000000006</v>
      </c>
      <c r="E18" s="243">
        <v>18</v>
      </c>
      <c r="F18" s="244">
        <v>18.46</v>
      </c>
      <c r="G18" s="107">
        <f t="shared" si="1"/>
        <v>332.28000000000003</v>
      </c>
      <c r="H18" s="140">
        <f t="shared" si="2"/>
        <v>3.0133928571428381E-2</v>
      </c>
      <c r="I18" s="246">
        <f t="shared" si="3"/>
        <v>9.7199999999999704</v>
      </c>
      <c r="J18" s="105"/>
      <c r="K18" s="92"/>
      <c r="L18" s="92"/>
      <c r="M18" s="92"/>
      <c r="N18" s="92"/>
      <c r="O18" s="92"/>
      <c r="P18" s="92"/>
      <c r="Q18" s="92"/>
      <c r="R18" s="92"/>
      <c r="S18" s="92"/>
    </row>
    <row r="19" spans="1:21" ht="15" customHeight="1" x14ac:dyDescent="0.25">
      <c r="A19" s="92"/>
      <c r="B19" s="249"/>
      <c r="C19" s="92"/>
      <c r="D19" s="107"/>
      <c r="E19" s="250"/>
      <c r="F19" s="248"/>
      <c r="G19" s="107"/>
      <c r="H19" s="140"/>
      <c r="I19" s="246"/>
      <c r="J19" s="105"/>
      <c r="K19" s="92"/>
      <c r="L19" s="92"/>
      <c r="M19" s="92"/>
      <c r="N19" s="92"/>
      <c r="O19" s="92"/>
      <c r="P19" s="92"/>
      <c r="Q19" s="92"/>
      <c r="R19" s="92"/>
      <c r="S19" s="92"/>
    </row>
    <row r="20" spans="1:21" ht="15" customHeight="1" x14ac:dyDescent="0.25">
      <c r="A20" s="91" t="s">
        <v>14</v>
      </c>
      <c r="B20" s="162">
        <v>24</v>
      </c>
      <c r="C20" s="106">
        <v>17.13</v>
      </c>
      <c r="D20" s="107">
        <f t="shared" si="0"/>
        <v>411.12</v>
      </c>
      <c r="E20" s="243">
        <v>24</v>
      </c>
      <c r="F20" s="244">
        <v>17.64</v>
      </c>
      <c r="G20" s="107">
        <f t="shared" si="1"/>
        <v>423.36</v>
      </c>
      <c r="H20" s="140">
        <f t="shared" si="2"/>
        <v>2.9772329246935181E-2</v>
      </c>
      <c r="I20" s="246">
        <f t="shared" si="3"/>
        <v>12.240000000000009</v>
      </c>
      <c r="J20" s="105"/>
      <c r="K20" s="92"/>
      <c r="L20" s="92"/>
      <c r="M20" s="92"/>
      <c r="N20" s="92"/>
      <c r="O20" s="92"/>
      <c r="P20" s="92"/>
      <c r="Q20" s="92"/>
      <c r="R20" s="92"/>
      <c r="S20" s="92"/>
    </row>
    <row r="21" spans="1:21" ht="15" customHeight="1" x14ac:dyDescent="0.25">
      <c r="A21" s="92"/>
      <c r="B21" s="162"/>
      <c r="C21" s="102"/>
      <c r="D21" s="107"/>
      <c r="E21" s="247"/>
      <c r="F21" s="248"/>
      <c r="G21" s="107"/>
      <c r="H21" s="140"/>
      <c r="I21" s="246"/>
      <c r="J21" s="105"/>
      <c r="K21" s="92"/>
      <c r="L21" s="92"/>
      <c r="M21" s="92"/>
      <c r="N21" s="92"/>
      <c r="O21" s="92"/>
      <c r="P21" s="92"/>
      <c r="Q21" s="92"/>
      <c r="R21" s="92"/>
      <c r="S21" s="92"/>
    </row>
    <row r="22" spans="1:21" ht="15" customHeight="1" x14ac:dyDescent="0.25">
      <c r="A22" s="91" t="s">
        <v>15</v>
      </c>
      <c r="B22" s="162">
        <v>32</v>
      </c>
      <c r="C22" s="106">
        <v>10.4</v>
      </c>
      <c r="D22" s="107">
        <f t="shared" si="0"/>
        <v>332.8</v>
      </c>
      <c r="E22" s="243">
        <v>32</v>
      </c>
      <c r="F22" s="244">
        <v>11.45</v>
      </c>
      <c r="G22" s="107">
        <f t="shared" si="1"/>
        <v>366.4</v>
      </c>
      <c r="H22" s="140">
        <f t="shared" si="2"/>
        <v>0.10096153846153832</v>
      </c>
      <c r="I22" s="246">
        <f t="shared" si="3"/>
        <v>33.599999999999966</v>
      </c>
      <c r="J22" s="105"/>
      <c r="K22" s="92"/>
      <c r="L22" s="92"/>
      <c r="M22" s="92"/>
      <c r="N22" s="92"/>
      <c r="O22" s="92"/>
      <c r="P22" s="92"/>
      <c r="Q22" s="92"/>
      <c r="R22" s="92"/>
      <c r="S22" s="92"/>
    </row>
    <row r="23" spans="1:21" ht="15" customHeight="1" thickBot="1" x14ac:dyDescent="0.3">
      <c r="A23" s="92"/>
      <c r="B23" s="154"/>
      <c r="C23" s="131"/>
      <c r="D23" s="251"/>
      <c r="E23" s="252"/>
      <c r="F23" s="253"/>
      <c r="G23" s="251"/>
      <c r="H23" s="254"/>
      <c r="I23" s="255"/>
      <c r="J23" s="105"/>
      <c r="K23" s="92"/>
      <c r="L23" s="92"/>
      <c r="M23" s="92"/>
      <c r="N23" s="92"/>
      <c r="O23" s="92"/>
      <c r="P23" s="92"/>
      <c r="Q23" s="92"/>
      <c r="R23" s="92"/>
      <c r="S23" s="92"/>
    </row>
    <row r="24" spans="1:21" ht="15" customHeight="1" x14ac:dyDescent="0.25">
      <c r="A24" s="91" t="s">
        <v>72</v>
      </c>
      <c r="B24" s="115"/>
      <c r="C24" s="116">
        <f>AVERAGE(C22,C20,C18,C16,C14,C12,C10,C8,C6)</f>
        <v>11.994444444444445</v>
      </c>
      <c r="D24" s="266">
        <f>AVERAGE(D22,D20,D18,D16,D14,D12,D10,D8,D6)</f>
        <v>317.9422222222222</v>
      </c>
      <c r="E24" s="117"/>
      <c r="F24" s="116">
        <f>AVERAGE(F22,F20,F18,F16,F14,F12,F10,F8,F6)</f>
        <v>12.39</v>
      </c>
      <c r="G24" s="116">
        <f t="shared" ref="G24:I24" si="4">AVERAGE(G22,G20,G18,G16,G14,G12,G10,G8,G6)</f>
        <v>328.00888888888886</v>
      </c>
      <c r="H24" s="119">
        <f t="shared" si="2"/>
        <v>3.166193717936161E-2</v>
      </c>
      <c r="I24" s="116">
        <f t="shared" si="4"/>
        <v>10.066666666666656</v>
      </c>
      <c r="J24" s="105"/>
      <c r="K24" s="92"/>
      <c r="L24" s="92"/>
      <c r="M24" s="92"/>
      <c r="N24" s="92"/>
      <c r="O24" s="92"/>
      <c r="P24" s="92"/>
      <c r="Q24" s="92"/>
      <c r="R24" s="92"/>
      <c r="S24" s="92"/>
    </row>
    <row r="25" spans="1:21" ht="15" customHeight="1" x14ac:dyDescent="0.25">
      <c r="A25" s="92"/>
      <c r="B25" s="92"/>
      <c r="C25" s="92"/>
      <c r="D25" s="267"/>
      <c r="E25" s="114"/>
      <c r="F25" s="112"/>
      <c r="G25" s="118"/>
      <c r="H25" s="119"/>
      <c r="I25" s="110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spans="1:21" ht="15" customHeight="1" x14ac:dyDescent="0.25">
      <c r="A26" s="91" t="s">
        <v>73</v>
      </c>
      <c r="B26" s="115"/>
      <c r="C26" s="106"/>
      <c r="D26" s="268">
        <f>D20</f>
        <v>411.12</v>
      </c>
      <c r="E26" s="120"/>
      <c r="F26" s="121"/>
      <c r="G26" s="121">
        <f>G20</f>
        <v>423.36</v>
      </c>
      <c r="H26" s="119"/>
      <c r="I26" s="110"/>
      <c r="J26" s="105"/>
      <c r="K26" s="92"/>
      <c r="L26" s="92"/>
      <c r="M26" s="92"/>
      <c r="N26" s="92"/>
      <c r="O26" s="92"/>
      <c r="P26" s="92"/>
      <c r="Q26" s="92"/>
      <c r="R26" s="92"/>
      <c r="S26" s="92"/>
    </row>
    <row r="27" spans="1:21" ht="15" customHeight="1" x14ac:dyDescent="0.25">
      <c r="A27" s="92"/>
      <c r="B27" s="92"/>
      <c r="C27" s="92"/>
      <c r="D27" s="92"/>
      <c r="E27" s="92"/>
      <c r="F27" s="122"/>
      <c r="G27" s="92"/>
      <c r="H27" s="119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1:21" ht="15" customHeight="1" x14ac:dyDescent="0.25">
      <c r="A28" s="123" t="s">
        <v>74</v>
      </c>
      <c r="B28" s="92"/>
      <c r="C28" s="92"/>
      <c r="D28" s="92"/>
      <c r="E28" s="92"/>
      <c r="F28" s="92"/>
      <c r="G28" s="92"/>
      <c r="H28" s="124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spans="1:21" ht="15" customHeight="1" x14ac:dyDescent="0.25">
      <c r="A29" s="123" t="s">
        <v>75</v>
      </c>
      <c r="B29" s="92"/>
      <c r="C29" s="92"/>
      <c r="D29" s="92"/>
      <c r="E29" s="92"/>
      <c r="F29" s="92"/>
      <c r="G29" s="92"/>
      <c r="H29" s="124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spans="1:21" ht="15" customHeight="1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spans="1:21" ht="15" customHeight="1" x14ac:dyDescent="0.25">
      <c r="A31" s="256"/>
      <c r="B31" s="123"/>
      <c r="C31" s="123"/>
      <c r="D31" s="139"/>
      <c r="E31" s="139"/>
      <c r="F31" s="139"/>
      <c r="G31" s="139"/>
      <c r="H31" s="102"/>
      <c r="I31" s="123"/>
      <c r="J31" s="92"/>
      <c r="K31" s="92"/>
      <c r="L31" s="92"/>
      <c r="M31" s="92"/>
      <c r="N31" s="92"/>
      <c r="O31" s="92"/>
      <c r="P31" s="92"/>
      <c r="Q31" s="92"/>
      <c r="R31" s="92"/>
      <c r="S31" s="123" t="s">
        <v>32</v>
      </c>
      <c r="U31" s="3" t="s">
        <v>32</v>
      </c>
    </row>
    <row r="32" spans="1:21" ht="15" customHeight="1" x14ac:dyDescent="0.25">
      <c r="A32" s="123"/>
      <c r="B32" s="127"/>
      <c r="C32" s="128"/>
      <c r="D32" s="128"/>
      <c r="E32" s="129"/>
      <c r="F32" s="128"/>
      <c r="G32" s="104"/>
      <c r="H32" s="140"/>
      <c r="I32" s="134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spans="1:10" ht="32.25" customHeight="1" x14ac:dyDescent="0.25">
      <c r="A33" s="257"/>
      <c r="B33" s="123"/>
      <c r="C33" s="123"/>
      <c r="D33" s="139"/>
      <c r="E33" s="139"/>
      <c r="F33" s="139"/>
      <c r="G33" s="139"/>
      <c r="H33" s="102"/>
      <c r="I33" s="123"/>
    </row>
    <row r="34" spans="1:10" ht="15" customHeight="1" x14ac:dyDescent="0.25">
      <c r="A34" s="91"/>
      <c r="B34" s="132"/>
      <c r="C34" s="132"/>
      <c r="D34" s="133"/>
      <c r="E34" s="134"/>
      <c r="F34" s="105"/>
      <c r="G34" s="92"/>
      <c r="H34" s="92"/>
      <c r="I34" s="92"/>
    </row>
    <row r="35" spans="1:10" ht="15" customHeight="1" x14ac:dyDescent="0.25">
      <c r="A35" s="92"/>
      <c r="B35" s="122"/>
      <c r="C35" s="122"/>
      <c r="D35" s="109"/>
      <c r="E35" s="134"/>
      <c r="F35" s="105"/>
      <c r="G35" s="92"/>
      <c r="H35" s="92"/>
      <c r="I35" s="92"/>
    </row>
    <row r="36" spans="1:10" ht="15" customHeight="1" x14ac:dyDescent="0.25">
      <c r="A36" s="92"/>
      <c r="B36" s="122"/>
      <c r="C36" s="122"/>
      <c r="D36" s="109"/>
      <c r="E36" s="134"/>
      <c r="F36" s="105"/>
      <c r="G36" s="92"/>
      <c r="H36" s="92"/>
      <c r="I36" s="92"/>
    </row>
    <row r="37" spans="1:10" ht="15" customHeight="1" x14ac:dyDescent="0.25">
      <c r="A37" s="92"/>
      <c r="B37" s="122"/>
      <c r="C37" s="122"/>
      <c r="D37" s="109"/>
      <c r="E37" s="134"/>
      <c r="F37" s="105"/>
      <c r="G37" s="92"/>
      <c r="H37" s="92"/>
      <c r="I37" s="92"/>
    </row>
    <row r="38" spans="1:10" ht="15" customHeight="1" x14ac:dyDescent="0.25">
      <c r="A38" s="91"/>
      <c r="B38" s="132"/>
      <c r="C38" s="132"/>
      <c r="D38" s="109"/>
      <c r="E38" s="134"/>
      <c r="F38" s="105"/>
      <c r="G38" s="92"/>
      <c r="H38" s="92"/>
      <c r="I38" s="92"/>
    </row>
    <row r="39" spans="1:10" ht="15" customHeight="1" x14ac:dyDescent="0.25">
      <c r="A39" s="92"/>
      <c r="B39" s="122"/>
      <c r="C39" s="122"/>
      <c r="D39" s="109"/>
      <c r="E39" s="92"/>
      <c r="F39" s="105"/>
      <c r="G39" s="92"/>
      <c r="H39" s="92"/>
      <c r="I39" s="92"/>
    </row>
    <row r="40" spans="1:10" ht="15" customHeight="1" x14ac:dyDescent="0.25">
      <c r="A40" s="92"/>
      <c r="B40" s="122"/>
      <c r="C40" s="122"/>
      <c r="D40" s="109"/>
      <c r="E40" s="92"/>
      <c r="F40" s="105"/>
      <c r="G40" s="92"/>
      <c r="H40" s="92"/>
      <c r="I40" s="92"/>
    </row>
    <row r="41" spans="1:10" ht="15" customHeight="1" x14ac:dyDescent="0.25">
      <c r="A41" s="92"/>
      <c r="B41" s="122"/>
      <c r="C41" s="122"/>
      <c r="D41" s="119"/>
      <c r="E41" s="92"/>
      <c r="F41" s="105"/>
      <c r="G41" s="92"/>
      <c r="H41" s="92"/>
      <c r="I41" s="92"/>
    </row>
    <row r="42" spans="1:10" ht="15" customHeight="1" x14ac:dyDescent="0.25">
      <c r="A42" s="91"/>
      <c r="B42" s="135"/>
      <c r="C42" s="135"/>
      <c r="D42" s="119"/>
      <c r="E42" s="136"/>
      <c r="F42" s="105"/>
      <c r="G42" s="92"/>
      <c r="H42" s="134"/>
      <c r="I42" s="92"/>
      <c r="J42" s="137"/>
    </row>
    <row r="43" spans="1:10" ht="15" customHeight="1" x14ac:dyDescent="0.25">
      <c r="A43" s="92"/>
      <c r="B43" s="92"/>
      <c r="C43" s="92"/>
      <c r="D43" s="119"/>
      <c r="E43" s="92"/>
      <c r="F43" s="92"/>
      <c r="G43" s="92"/>
      <c r="H43" s="92"/>
      <c r="I43" s="92"/>
    </row>
    <row r="44" spans="1:10" ht="15" customHeight="1" x14ac:dyDescent="0.25">
      <c r="A44" s="91"/>
      <c r="B44" s="138"/>
      <c r="C44" s="138"/>
      <c r="D44" s="119"/>
      <c r="E44"/>
      <c r="F44"/>
      <c r="G44"/>
      <c r="H44"/>
      <c r="I44" s="92"/>
    </row>
    <row r="45" spans="1:10" ht="15" customHeight="1" x14ac:dyDescent="0.25">
      <c r="A45" s="92"/>
      <c r="B45" s="92"/>
      <c r="C45" s="92"/>
      <c r="D45" s="119"/>
      <c r="E45"/>
      <c r="F45"/>
      <c r="G45"/>
      <c r="H45"/>
      <c r="I45" s="92"/>
    </row>
    <row r="46" spans="1:10" ht="15" customHeight="1" x14ac:dyDescent="0.25">
      <c r="A46" s="92"/>
      <c r="B46" s="92"/>
      <c r="C46" s="92"/>
      <c r="D46" s="124"/>
      <c r="E46"/>
      <c r="F46"/>
      <c r="G46"/>
      <c r="H46"/>
      <c r="I46" s="92"/>
    </row>
    <row r="47" spans="1:10" ht="15" customHeight="1" x14ac:dyDescent="0.25">
      <c r="A47" s="92"/>
      <c r="B47" s="139"/>
      <c r="C47" s="139"/>
      <c r="D47" s="92"/>
      <c r="E47"/>
      <c r="F47"/>
      <c r="G47"/>
      <c r="H47"/>
      <c r="I47" s="92"/>
    </row>
    <row r="48" spans="1:10" ht="15" customHeight="1" x14ac:dyDescent="0.25">
      <c r="A48" s="91"/>
      <c r="B48" s="139"/>
      <c r="C48" s="139"/>
      <c r="D48" s="92"/>
      <c r="E48"/>
      <c r="F48"/>
      <c r="G48"/>
      <c r="H48"/>
      <c r="I48" s="92"/>
    </row>
    <row r="49" spans="1:8" ht="15" customHeight="1" x14ac:dyDescent="0.25">
      <c r="A49" s="92"/>
      <c r="B49" s="104"/>
      <c r="C49" s="104"/>
      <c r="D49" s="140"/>
      <c r="E49"/>
      <c r="F49"/>
      <c r="G49"/>
      <c r="H49"/>
    </row>
    <row r="50" spans="1:8" ht="15" customHeight="1" x14ac:dyDescent="0.25">
      <c r="A50" s="92"/>
      <c r="B50" s="139"/>
      <c r="C50" s="139"/>
      <c r="D50" s="92"/>
      <c r="E50"/>
      <c r="F50"/>
      <c r="G50"/>
      <c r="H50"/>
    </row>
    <row r="51" spans="1:8" ht="15" customHeight="1" x14ac:dyDescent="0.25">
      <c r="A51" s="111"/>
      <c r="B51" s="139"/>
      <c r="C51" s="139"/>
      <c r="D51" s="92"/>
      <c r="E51"/>
      <c r="F51"/>
      <c r="G51"/>
      <c r="H51"/>
    </row>
    <row r="52" spans="1:8" ht="15" customHeight="1" x14ac:dyDescent="0.25">
      <c r="A52" s="92"/>
      <c r="B52" s="92"/>
      <c r="C52" s="92"/>
      <c r="D52" s="92"/>
      <c r="E52"/>
      <c r="F52"/>
      <c r="G52"/>
      <c r="H52"/>
    </row>
    <row r="53" spans="1:8" x14ac:dyDescent="0.25">
      <c r="E53"/>
      <c r="F53"/>
      <c r="G53"/>
      <c r="H53"/>
    </row>
    <row r="54" spans="1:8" x14ac:dyDescent="0.25">
      <c r="E54"/>
      <c r="F54"/>
      <c r="G54"/>
      <c r="H54"/>
    </row>
  </sheetData>
  <pageMargins left="0.7" right="0.7" top="0.75" bottom="0.75" header="0.3" footer="0.3"/>
  <pageSetup scale="76" orientation="landscape" r:id="rId1"/>
  <headerFooter>
    <oddHeader>&amp;R2B</oddHeader>
  </headerFooter>
  <colBreaks count="1" manualBreakCount="1">
    <brk id="9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A5BD-0C21-4FCA-A1D5-660A9EDF730F}">
  <dimension ref="A1:K28"/>
  <sheetViews>
    <sheetView zoomScaleNormal="100" workbookViewId="0">
      <selection activeCell="K8" sqref="K8"/>
    </sheetView>
  </sheetViews>
  <sheetFormatPr defaultColWidth="9.140625" defaultRowHeight="15.75" x14ac:dyDescent="0.25"/>
  <cols>
    <col min="1" max="1" width="45.28515625" style="3" customWidth="1"/>
    <col min="2" max="2" width="8.28515625" style="3" hidden="1" customWidth="1"/>
    <col min="3" max="3" width="16.7109375" style="47" customWidth="1"/>
    <col min="4" max="4" width="14.5703125" style="47" customWidth="1"/>
    <col min="5" max="5" width="12.28515625" style="3" customWidth="1"/>
    <col min="6" max="6" width="15.7109375" style="6" bestFit="1" customWidth="1"/>
    <col min="7" max="7" width="14.85546875" style="3" bestFit="1" customWidth="1"/>
    <col min="8" max="8" width="11.7109375" style="3" bestFit="1" customWidth="1"/>
    <col min="9" max="16384" width="9.140625" style="3"/>
  </cols>
  <sheetData>
    <row r="1" spans="1:11" x14ac:dyDescent="0.25">
      <c r="A1" s="91" t="s">
        <v>57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32.25" thickBot="1" x14ac:dyDescent="0.3">
      <c r="A2" s="256" t="s">
        <v>230</v>
      </c>
      <c r="B2" s="92"/>
      <c r="C2" s="92"/>
      <c r="D2" s="92"/>
      <c r="E2" s="102"/>
      <c r="F2" s="92"/>
      <c r="G2" s="92"/>
      <c r="H2" s="92"/>
      <c r="I2" s="92"/>
      <c r="J2" s="92"/>
    </row>
    <row r="3" spans="1:11" x14ac:dyDescent="0.25">
      <c r="A3" s="92"/>
      <c r="B3" s="92"/>
      <c r="C3" s="94" t="s">
        <v>239</v>
      </c>
      <c r="D3" s="95" t="s">
        <v>60</v>
      </c>
      <c r="E3" s="96" t="s">
        <v>61</v>
      </c>
      <c r="F3" s="94" t="s">
        <v>59</v>
      </c>
      <c r="G3" s="95" t="s">
        <v>60</v>
      </c>
      <c r="H3" s="264" t="s">
        <v>62</v>
      </c>
      <c r="I3" s="95" t="s">
        <v>4</v>
      </c>
      <c r="J3" s="97" t="s">
        <v>5</v>
      </c>
    </row>
    <row r="4" spans="1:11" ht="16.5" thickBot="1" x14ac:dyDescent="0.3">
      <c r="A4" s="92"/>
      <c r="B4" s="92"/>
      <c r="C4" s="98" t="s">
        <v>63</v>
      </c>
      <c r="D4" s="99" t="s">
        <v>64</v>
      </c>
      <c r="E4" s="100" t="s">
        <v>65</v>
      </c>
      <c r="F4" s="98" t="s">
        <v>66</v>
      </c>
      <c r="G4" s="99" t="s">
        <v>67</v>
      </c>
      <c r="H4" s="265" t="s">
        <v>68</v>
      </c>
      <c r="I4" s="99" t="s">
        <v>9</v>
      </c>
      <c r="J4" s="101" t="s">
        <v>9</v>
      </c>
    </row>
    <row r="5" spans="1:11" x14ac:dyDescent="0.25">
      <c r="A5" s="123" t="s">
        <v>32</v>
      </c>
      <c r="B5" s="124"/>
      <c r="C5" s="94"/>
      <c r="D5" s="95"/>
      <c r="E5" s="173"/>
      <c r="F5" s="94"/>
      <c r="G5" s="173"/>
      <c r="H5" s="174"/>
      <c r="I5" s="173"/>
      <c r="J5" s="174"/>
    </row>
    <row r="6" spans="1:11" x14ac:dyDescent="0.25">
      <c r="A6" s="175" t="s">
        <v>110</v>
      </c>
      <c r="B6" s="176">
        <v>150</v>
      </c>
      <c r="C6" s="148">
        <v>30</v>
      </c>
      <c r="D6" s="106">
        <v>6.05</v>
      </c>
      <c r="E6" s="106">
        <f>D6*C6</f>
        <v>181.5</v>
      </c>
      <c r="F6" s="162">
        <v>30</v>
      </c>
      <c r="G6" s="106">
        <v>6.05</v>
      </c>
      <c r="H6" s="262">
        <f>G6*F6</f>
        <v>181.5</v>
      </c>
      <c r="I6" s="171">
        <f>H6/E6-1</f>
        <v>0</v>
      </c>
      <c r="J6" s="177">
        <f>H6-E6</f>
        <v>0</v>
      </c>
    </row>
    <row r="7" spans="1:11" x14ac:dyDescent="0.25">
      <c r="A7" s="92"/>
      <c r="B7" s="92"/>
      <c r="C7" s="178"/>
      <c r="D7" s="179"/>
      <c r="E7" s="106"/>
      <c r="F7" s="162"/>
      <c r="G7" s="180"/>
      <c r="H7" s="262"/>
      <c r="I7" s="171"/>
      <c r="J7" s="177"/>
    </row>
    <row r="8" spans="1:11" x14ac:dyDescent="0.25">
      <c r="A8" s="181" t="s">
        <v>12</v>
      </c>
      <c r="B8" s="176">
        <v>60</v>
      </c>
      <c r="C8" s="162">
        <f>26</f>
        <v>26</v>
      </c>
      <c r="D8" s="106">
        <v>3.08</v>
      </c>
      <c r="E8" s="106">
        <f t="shared" ref="E8:E15" si="0">D8*C8</f>
        <v>80.08</v>
      </c>
      <c r="F8" s="162">
        <v>26</v>
      </c>
      <c r="G8" s="106">
        <v>3.08</v>
      </c>
      <c r="H8" s="262">
        <f t="shared" ref="H8:H15" si="1">G8*F8</f>
        <v>80.08</v>
      </c>
      <c r="I8" s="171">
        <f t="shared" ref="I8:I17" si="2">H8/E8-1</f>
        <v>0</v>
      </c>
      <c r="J8" s="177">
        <f t="shared" ref="J8:J17" si="3">H8-E8</f>
        <v>0</v>
      </c>
      <c r="K8" s="3" t="s">
        <v>248</v>
      </c>
    </row>
    <row r="9" spans="1:11" x14ac:dyDescent="0.25">
      <c r="A9" s="123" t="s">
        <v>111</v>
      </c>
      <c r="B9" s="91"/>
      <c r="C9" s="178"/>
      <c r="D9" s="179"/>
      <c r="E9" s="106"/>
      <c r="F9" s="162"/>
      <c r="G9" s="180"/>
      <c r="H9" s="262"/>
      <c r="I9" s="171"/>
      <c r="J9" s="177"/>
    </row>
    <row r="10" spans="1:11" x14ac:dyDescent="0.25">
      <c r="A10" s="92"/>
      <c r="B10" s="92"/>
      <c r="C10" s="178"/>
      <c r="D10" s="179"/>
      <c r="E10" s="106"/>
      <c r="F10" s="162"/>
      <c r="G10" s="180"/>
      <c r="H10" s="262"/>
      <c r="I10" s="171"/>
      <c r="J10" s="177"/>
    </row>
    <row r="11" spans="1:11" x14ac:dyDescent="0.25">
      <c r="A11" s="91" t="s">
        <v>11</v>
      </c>
      <c r="B11" s="176">
        <v>197.76</v>
      </c>
      <c r="C11" s="162">
        <v>24</v>
      </c>
      <c r="D11" s="106">
        <v>12.1</v>
      </c>
      <c r="E11" s="106">
        <f t="shared" si="0"/>
        <v>290.39999999999998</v>
      </c>
      <c r="F11" s="162">
        <v>24</v>
      </c>
      <c r="G11" s="106">
        <v>12.5</v>
      </c>
      <c r="H11" s="262">
        <f t="shared" si="1"/>
        <v>300</v>
      </c>
      <c r="I11" s="171">
        <f t="shared" si="2"/>
        <v>3.3057851239669533E-2</v>
      </c>
      <c r="J11" s="177">
        <f t="shared" si="3"/>
        <v>9.6000000000000227</v>
      </c>
    </row>
    <row r="12" spans="1:11" x14ac:dyDescent="0.25">
      <c r="A12" s="92"/>
      <c r="B12" s="92"/>
      <c r="C12" s="178"/>
      <c r="D12" s="179"/>
      <c r="E12" s="106"/>
      <c r="F12" s="162"/>
      <c r="G12" s="180"/>
      <c r="H12" s="262"/>
      <c r="I12" s="171"/>
      <c r="J12" s="177"/>
    </row>
    <row r="13" spans="1:11" x14ac:dyDescent="0.25">
      <c r="A13" s="175" t="s">
        <v>112</v>
      </c>
      <c r="B13" s="176">
        <v>66</v>
      </c>
      <c r="C13" s="162">
        <v>30</v>
      </c>
      <c r="D13" s="106">
        <v>6</v>
      </c>
      <c r="E13" s="106">
        <f t="shared" si="0"/>
        <v>180</v>
      </c>
      <c r="F13" s="162">
        <v>30</v>
      </c>
      <c r="G13" s="106">
        <v>6</v>
      </c>
      <c r="H13" s="262">
        <f t="shared" si="1"/>
        <v>180</v>
      </c>
      <c r="I13" s="171">
        <f t="shared" si="2"/>
        <v>0</v>
      </c>
      <c r="J13" s="177">
        <f t="shared" si="3"/>
        <v>0</v>
      </c>
    </row>
    <row r="14" spans="1:11" x14ac:dyDescent="0.25">
      <c r="A14" s="91"/>
      <c r="B14" s="91"/>
      <c r="C14" s="178"/>
      <c r="D14" s="115"/>
      <c r="E14" s="106"/>
      <c r="F14" s="162"/>
      <c r="G14" s="180"/>
      <c r="H14" s="262"/>
      <c r="I14" s="171"/>
      <c r="J14" s="177"/>
    </row>
    <row r="15" spans="1:11" x14ac:dyDescent="0.25">
      <c r="A15" s="91" t="s">
        <v>15</v>
      </c>
      <c r="B15" s="176">
        <v>144</v>
      </c>
      <c r="C15" s="162">
        <v>24</v>
      </c>
      <c r="D15" s="106">
        <v>8.6199999999999992</v>
      </c>
      <c r="E15" s="106">
        <f t="shared" si="0"/>
        <v>206.88</v>
      </c>
      <c r="F15" s="162">
        <v>24</v>
      </c>
      <c r="G15" s="106">
        <v>9.06</v>
      </c>
      <c r="H15" s="262">
        <f t="shared" si="1"/>
        <v>217.44</v>
      </c>
      <c r="I15" s="171">
        <f t="shared" si="2"/>
        <v>5.1044083526682105E-2</v>
      </c>
      <c r="J15" s="177">
        <f t="shared" si="3"/>
        <v>10.560000000000002</v>
      </c>
    </row>
    <row r="16" spans="1:11" ht="16.5" thickBot="1" x14ac:dyDescent="0.3">
      <c r="A16" s="92"/>
      <c r="B16" s="91"/>
      <c r="C16" s="182"/>
      <c r="D16" s="183"/>
      <c r="E16" s="184"/>
      <c r="F16" s="185"/>
      <c r="G16" s="186"/>
      <c r="H16" s="263"/>
      <c r="I16" s="187"/>
      <c r="J16" s="188"/>
    </row>
    <row r="17" spans="1:11" x14ac:dyDescent="0.25">
      <c r="A17" s="91" t="s">
        <v>101</v>
      </c>
      <c r="B17" s="176">
        <v>123.55199999999999</v>
      </c>
      <c r="C17" s="115"/>
      <c r="D17" s="115">
        <f>AVERAGE(D15,D13,D11,D8,D6)</f>
        <v>7.169999999999999</v>
      </c>
      <c r="E17" s="115">
        <f t="shared" ref="E17:H17" si="4">AVERAGE(E15,E13,E11,E8,E6)</f>
        <v>187.77199999999999</v>
      </c>
      <c r="F17" s="115"/>
      <c r="G17" s="115">
        <f t="shared" si="4"/>
        <v>7.3379999999999992</v>
      </c>
      <c r="H17" s="115">
        <f t="shared" si="4"/>
        <v>191.80400000000003</v>
      </c>
      <c r="I17" s="171">
        <f t="shared" si="2"/>
        <v>2.1472850052191239E-2</v>
      </c>
      <c r="J17" s="258">
        <f t="shared" si="3"/>
        <v>4.0320000000000391</v>
      </c>
    </row>
    <row r="18" spans="1:11" x14ac:dyDescent="0.25">
      <c r="A18" s="92"/>
      <c r="B18" s="92"/>
      <c r="C18" s="92"/>
      <c r="D18" s="92"/>
      <c r="E18" s="105"/>
      <c r="F18" s="92"/>
      <c r="G18" s="92"/>
      <c r="H18" s="92"/>
      <c r="I18" s="92"/>
      <c r="J18" s="92"/>
    </row>
    <row r="19" spans="1:11" x14ac:dyDescent="0.25">
      <c r="A19" s="256" t="s">
        <v>106</v>
      </c>
      <c r="B19" s="123"/>
      <c r="C19" s="123"/>
      <c r="D19" s="139"/>
      <c r="E19" s="139"/>
      <c r="F19" s="139"/>
      <c r="G19" s="139"/>
      <c r="H19" s="102"/>
      <c r="I19" s="123"/>
      <c r="J19" s="4"/>
    </row>
    <row r="20" spans="1:11" x14ac:dyDescent="0.25">
      <c r="A20" s="123" t="s">
        <v>76</v>
      </c>
      <c r="B20" s="127">
        <v>18</v>
      </c>
      <c r="C20" s="127">
        <v>18</v>
      </c>
      <c r="D20" s="128">
        <v>8.65</v>
      </c>
      <c r="E20" s="128">
        <f>D20*C20</f>
        <v>155.70000000000002</v>
      </c>
      <c r="F20" s="259">
        <v>18</v>
      </c>
      <c r="G20" s="248">
        <v>8.91</v>
      </c>
      <c r="H20" s="260">
        <f>G20*F20</f>
        <v>160.38</v>
      </c>
      <c r="I20" s="261">
        <f t="shared" ref="I20" si="5">H20/E20-1</f>
        <v>3.0057803468207966E-2</v>
      </c>
      <c r="J20" s="190">
        <f t="shared" ref="J20" si="6">H20-E20</f>
        <v>4.6799999999999784</v>
      </c>
    </row>
    <row r="21" spans="1:11" x14ac:dyDescent="0.25">
      <c r="A21" s="257"/>
      <c r="B21" s="123"/>
      <c r="C21" s="123"/>
      <c r="D21" s="139"/>
      <c r="E21" s="139"/>
      <c r="F21" s="139"/>
      <c r="G21" s="139"/>
      <c r="H21" s="102"/>
      <c r="I21" s="123"/>
      <c r="J21" s="4"/>
    </row>
    <row r="22" spans="1:11" x14ac:dyDescent="0.25">
      <c r="A22" s="6"/>
      <c r="B22" s="189"/>
      <c r="C22" s="190"/>
      <c r="D22" s="190"/>
      <c r="E22" s="109"/>
      <c r="F22" s="33"/>
      <c r="I22" s="191"/>
      <c r="J22" s="191"/>
    </row>
    <row r="23" spans="1:11" x14ac:dyDescent="0.25">
      <c r="B23" s="6"/>
      <c r="D23" s="4"/>
      <c r="E23" s="119"/>
      <c r="F23" s="189"/>
    </row>
    <row r="24" spans="1:11" x14ac:dyDescent="0.25">
      <c r="B24" s="189"/>
      <c r="C24" s="190"/>
      <c r="D24" s="191"/>
      <c r="E24" s="119"/>
      <c r="F24" s="189"/>
      <c r="I24" s="33"/>
      <c r="J24" s="33"/>
      <c r="K24" s="87"/>
    </row>
    <row r="25" spans="1:11" x14ac:dyDescent="0.25">
      <c r="E25" s="119"/>
      <c r="F25" s="189"/>
    </row>
    <row r="26" spans="1:11" x14ac:dyDescent="0.25">
      <c r="A26" s="6"/>
      <c r="B26" s="189"/>
      <c r="C26" s="191"/>
      <c r="D26" s="191"/>
      <c r="E26" s="192"/>
      <c r="F26" s="189"/>
    </row>
    <row r="27" spans="1:11" x14ac:dyDescent="0.25">
      <c r="E27" s="33"/>
    </row>
    <row r="28" spans="1:11" x14ac:dyDescent="0.25">
      <c r="D28" s="190"/>
    </row>
  </sheetData>
  <pageMargins left="0.7" right="0.7" top="0.75" bottom="0.75" header="0.3" footer="0.3"/>
  <pageSetup scale="82" orientation="landscape" r:id="rId1"/>
  <headerFooter>
    <oddHeader>&amp;R2C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0102-9C0F-45BA-9314-996AB71F4860}">
  <sheetPr>
    <pageSetUpPr fitToPage="1"/>
  </sheetPr>
  <dimension ref="A1:O536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48.28515625" style="3" customWidth="1"/>
    <col min="2" max="2" width="12.7109375" style="3" bestFit="1" customWidth="1"/>
    <col min="3" max="4" width="14.7109375" style="3" bestFit="1" customWidth="1"/>
    <col min="5" max="5" width="15.42578125" style="3" bestFit="1" customWidth="1"/>
    <col min="6" max="7" width="11.85546875" style="3" bestFit="1" customWidth="1"/>
    <col min="8" max="8" width="16.7109375" style="47" customWidth="1"/>
    <col min="9" max="9" width="11.85546875" style="3" customWidth="1"/>
    <col min="10" max="16384" width="9.140625" style="3"/>
  </cols>
  <sheetData>
    <row r="1" spans="1:15" ht="15" customHeight="1" x14ac:dyDescent="0.25">
      <c r="A1" s="113" t="s">
        <v>0</v>
      </c>
      <c r="B1" s="142"/>
      <c r="C1" s="142"/>
      <c r="D1" s="142"/>
      <c r="E1" s="142"/>
      <c r="F1" s="142"/>
      <c r="G1" s="142"/>
      <c r="H1" s="142"/>
      <c r="I1" s="142"/>
      <c r="J1" s="102"/>
      <c r="K1" s="92"/>
      <c r="L1" s="92"/>
      <c r="M1" s="92"/>
      <c r="N1" s="92"/>
      <c r="O1" s="92"/>
    </row>
    <row r="2" spans="1:15" ht="15" customHeight="1" thickBot="1" x14ac:dyDescent="0.3">
      <c r="A2" s="113" t="s">
        <v>77</v>
      </c>
      <c r="B2" s="123"/>
      <c r="C2" s="130"/>
      <c r="D2" s="123"/>
      <c r="E2" s="123"/>
      <c r="F2" s="123"/>
      <c r="G2" s="123"/>
      <c r="H2" s="123"/>
      <c r="I2" s="123"/>
      <c r="J2" s="143"/>
      <c r="K2" s="144"/>
      <c r="L2" s="145"/>
      <c r="M2" s="146"/>
      <c r="N2" s="147"/>
      <c r="O2" s="143"/>
    </row>
    <row r="3" spans="1:15" ht="15" customHeight="1" x14ac:dyDescent="0.25">
      <c r="A3" s="91"/>
      <c r="B3" s="123"/>
      <c r="C3" s="94" t="s">
        <v>78</v>
      </c>
      <c r="D3" s="95" t="s">
        <v>79</v>
      </c>
      <c r="E3" s="94" t="s">
        <v>80</v>
      </c>
      <c r="F3" s="95" t="s">
        <v>81</v>
      </c>
      <c r="G3" s="94"/>
      <c r="H3" s="95" t="s">
        <v>79</v>
      </c>
      <c r="I3" s="97" t="s">
        <v>81</v>
      </c>
      <c r="J3" s="143"/>
      <c r="K3" s="144"/>
      <c r="L3" s="145"/>
      <c r="M3" s="146"/>
      <c r="N3" s="147"/>
      <c r="O3" s="143"/>
    </row>
    <row r="4" spans="1:15" ht="15" customHeight="1" thickBot="1" x14ac:dyDescent="0.3">
      <c r="A4" s="91"/>
      <c r="B4" s="123"/>
      <c r="C4" s="126" t="s">
        <v>82</v>
      </c>
      <c r="D4" s="124"/>
      <c r="E4" s="148" t="s">
        <v>82</v>
      </c>
      <c r="F4" s="124"/>
      <c r="G4" s="149"/>
      <c r="H4" s="124"/>
      <c r="I4" s="150"/>
      <c r="J4" s="143"/>
      <c r="K4" s="144"/>
      <c r="L4" s="145"/>
      <c r="M4" s="146"/>
      <c r="N4" s="147"/>
      <c r="O4" s="143"/>
    </row>
    <row r="5" spans="1:15" ht="15" customHeight="1" thickBot="1" x14ac:dyDescent="0.3">
      <c r="A5" s="151" t="s">
        <v>83</v>
      </c>
      <c r="B5" s="152"/>
      <c r="C5" s="153" t="s">
        <v>84</v>
      </c>
      <c r="D5" s="131" t="s">
        <v>85</v>
      </c>
      <c r="E5" s="154" t="s">
        <v>86</v>
      </c>
      <c r="F5" s="131" t="s">
        <v>85</v>
      </c>
      <c r="G5" s="154" t="s">
        <v>87</v>
      </c>
      <c r="H5" s="131" t="s">
        <v>88</v>
      </c>
      <c r="I5" s="155" t="s">
        <v>88</v>
      </c>
      <c r="J5" s="124" t="s">
        <v>89</v>
      </c>
      <c r="K5" s="144"/>
      <c r="L5" s="145"/>
      <c r="M5" s="146"/>
      <c r="N5" s="147"/>
      <c r="O5" s="143"/>
    </row>
    <row r="6" spans="1:15" ht="15" customHeight="1" x14ac:dyDescent="0.25">
      <c r="A6" s="123" t="s">
        <v>90</v>
      </c>
      <c r="B6" s="123" t="s">
        <v>91</v>
      </c>
      <c r="C6" s="156">
        <v>15</v>
      </c>
      <c r="D6" s="157">
        <v>4.18</v>
      </c>
      <c r="E6" s="158">
        <v>15</v>
      </c>
      <c r="F6" s="157">
        <v>4.18</v>
      </c>
      <c r="G6" s="159">
        <f>F6/D6-1</f>
        <v>0</v>
      </c>
      <c r="H6" s="160">
        <f>(D6*C6)*2</f>
        <v>125.39999999999999</v>
      </c>
      <c r="I6" s="161">
        <f>(F6*E6)*2</f>
        <v>125.39999999999999</v>
      </c>
      <c r="J6" s="123" t="s">
        <v>92</v>
      </c>
      <c r="K6" s="144"/>
      <c r="L6" s="145"/>
      <c r="M6" s="146"/>
      <c r="N6" s="147"/>
      <c r="O6" s="143"/>
    </row>
    <row r="7" spans="1:15" ht="15" customHeight="1" x14ac:dyDescent="0.25">
      <c r="A7" s="123" t="s">
        <v>93</v>
      </c>
      <c r="B7" s="123" t="s">
        <v>91</v>
      </c>
      <c r="C7" s="162">
        <v>15</v>
      </c>
      <c r="D7" s="106">
        <v>3.67</v>
      </c>
      <c r="E7" s="162">
        <v>15</v>
      </c>
      <c r="F7" s="106">
        <v>3.75</v>
      </c>
      <c r="G7" s="159">
        <f t="shared" ref="G7:G12" si="0">F7/D7-1</f>
        <v>2.1798365122615904E-2</v>
      </c>
      <c r="H7" s="160">
        <f t="shared" ref="H7:H10" si="1">(D7*C7)*2</f>
        <v>110.1</v>
      </c>
      <c r="I7" s="161">
        <f t="shared" ref="I7:I10" si="2">(F7*E7)*2</f>
        <v>112.5</v>
      </c>
      <c r="J7" s="163" t="s">
        <v>94</v>
      </c>
      <c r="K7" s="144"/>
      <c r="L7" s="145"/>
      <c r="M7" s="146"/>
      <c r="N7" s="147"/>
      <c r="O7" s="143"/>
    </row>
    <row r="8" spans="1:15" ht="15" customHeight="1" x14ac:dyDescent="0.25">
      <c r="A8" s="123" t="s">
        <v>71</v>
      </c>
      <c r="B8" s="123" t="s">
        <v>95</v>
      </c>
      <c r="C8" s="162">
        <v>15</v>
      </c>
      <c r="D8" s="106">
        <v>9.5</v>
      </c>
      <c r="E8" s="162">
        <v>15</v>
      </c>
      <c r="F8" s="106">
        <v>9.5</v>
      </c>
      <c r="G8" s="159">
        <f t="shared" si="0"/>
        <v>0</v>
      </c>
      <c r="H8" s="160">
        <f t="shared" si="1"/>
        <v>285</v>
      </c>
      <c r="I8" s="161">
        <f t="shared" si="2"/>
        <v>285</v>
      </c>
      <c r="J8" s="164" t="s">
        <v>96</v>
      </c>
      <c r="K8" s="144"/>
      <c r="L8" s="145"/>
      <c r="M8" s="146"/>
      <c r="N8" s="147"/>
      <c r="O8" s="143"/>
    </row>
    <row r="9" spans="1:15" ht="15" customHeight="1" x14ac:dyDescent="0.25">
      <c r="A9" s="123" t="s">
        <v>97</v>
      </c>
      <c r="B9" s="123" t="s">
        <v>98</v>
      </c>
      <c r="C9" s="162">
        <v>15</v>
      </c>
      <c r="D9" s="106">
        <v>9.33</v>
      </c>
      <c r="E9" s="162">
        <v>15</v>
      </c>
      <c r="F9" s="106">
        <v>9.33</v>
      </c>
      <c r="G9" s="159">
        <f t="shared" si="0"/>
        <v>0</v>
      </c>
      <c r="H9" s="160">
        <f t="shared" si="1"/>
        <v>279.89999999999998</v>
      </c>
      <c r="I9" s="161">
        <f t="shared" si="2"/>
        <v>279.89999999999998</v>
      </c>
      <c r="J9" s="123" t="s">
        <v>99</v>
      </c>
      <c r="K9" s="91"/>
      <c r="L9" s="145"/>
      <c r="M9" s="146"/>
      <c r="N9" s="147"/>
      <c r="O9" s="143"/>
    </row>
    <row r="10" spans="1:15" ht="15" customHeight="1" x14ac:dyDescent="0.25">
      <c r="A10" s="123" t="s">
        <v>100</v>
      </c>
      <c r="B10" s="123" t="s">
        <v>95</v>
      </c>
      <c r="C10" s="162">
        <v>15</v>
      </c>
      <c r="D10" s="106">
        <v>13</v>
      </c>
      <c r="E10" s="162">
        <v>15</v>
      </c>
      <c r="F10" s="106">
        <v>13</v>
      </c>
      <c r="G10" s="159">
        <f t="shared" si="0"/>
        <v>0</v>
      </c>
      <c r="H10" s="160">
        <f t="shared" si="1"/>
        <v>390</v>
      </c>
      <c r="I10" s="161">
        <f t="shared" si="2"/>
        <v>390</v>
      </c>
      <c r="J10" s="123" t="s">
        <v>227</v>
      </c>
      <c r="K10" s="91"/>
      <c r="L10" s="145"/>
      <c r="M10" s="146"/>
      <c r="N10" s="147"/>
      <c r="O10" s="143"/>
    </row>
    <row r="11" spans="1:15" ht="15" customHeight="1" x14ac:dyDescent="0.25">
      <c r="A11" s="91"/>
      <c r="B11" s="123"/>
      <c r="C11" s="126"/>
      <c r="D11" s="160"/>
      <c r="E11" s="165"/>
      <c r="F11" s="160"/>
      <c r="G11" s="159"/>
      <c r="H11" s="160"/>
      <c r="I11" s="161"/>
      <c r="J11" s="102"/>
      <c r="K11" s="91"/>
      <c r="L11" s="145"/>
      <c r="M11" s="146"/>
      <c r="N11" s="147"/>
      <c r="O11" s="143"/>
    </row>
    <row r="12" spans="1:15" ht="15" customHeight="1" x14ac:dyDescent="0.25">
      <c r="A12" s="91" t="s">
        <v>101</v>
      </c>
      <c r="B12" s="123"/>
      <c r="C12" s="126"/>
      <c r="D12" s="160">
        <f>AVERAGE(D10,D9,D8,D7,D6)</f>
        <v>7.9359999999999999</v>
      </c>
      <c r="E12" s="165"/>
      <c r="F12" s="160">
        <f>AVERAGE(F10,F9,F8,F7,F6)</f>
        <v>7.952</v>
      </c>
      <c r="G12" s="159">
        <f t="shared" si="0"/>
        <v>2.0161290322580072E-3</v>
      </c>
      <c r="H12" s="160">
        <f>AVERAGE(H10,H9,H8,H7,H6)</f>
        <v>238.08</v>
      </c>
      <c r="I12" s="161">
        <f>AVERAGE(I10,I9,I8,I7,I6)</f>
        <v>238.56000000000003</v>
      </c>
      <c r="J12" s="143"/>
      <c r="K12" s="144"/>
      <c r="L12" s="145"/>
      <c r="M12" s="146"/>
      <c r="N12" s="147"/>
      <c r="O12" s="143"/>
    </row>
    <row r="13" spans="1:15" ht="15" customHeight="1" x14ac:dyDescent="0.25">
      <c r="A13" s="91"/>
      <c r="B13" s="123"/>
      <c r="C13" s="126"/>
      <c r="D13" s="160"/>
      <c r="E13" s="165"/>
      <c r="F13" s="160"/>
      <c r="G13" s="159"/>
      <c r="H13" s="160"/>
      <c r="I13" s="161"/>
      <c r="J13" s="143"/>
      <c r="K13" s="144"/>
      <c r="L13" s="145"/>
      <c r="M13" s="146"/>
      <c r="N13" s="147"/>
      <c r="O13" s="143"/>
    </row>
    <row r="14" spans="1:15" ht="15" customHeight="1" thickBot="1" x14ac:dyDescent="0.3">
      <c r="A14" s="91"/>
      <c r="B14" s="123"/>
      <c r="C14" s="126"/>
      <c r="D14" s="160"/>
      <c r="E14" s="165"/>
      <c r="F14" s="160"/>
      <c r="G14" s="159"/>
      <c r="H14" s="160"/>
      <c r="I14" s="161"/>
      <c r="J14" s="143"/>
      <c r="K14" s="144"/>
      <c r="L14" s="145"/>
      <c r="M14" s="146"/>
      <c r="N14" s="147"/>
      <c r="O14" s="143"/>
    </row>
    <row r="15" spans="1:15" ht="15" customHeight="1" thickBot="1" x14ac:dyDescent="0.3">
      <c r="A15" s="151" t="s">
        <v>102</v>
      </c>
      <c r="B15" s="147"/>
      <c r="C15" s="166"/>
      <c r="D15" s="160" t="s">
        <v>103</v>
      </c>
      <c r="E15" s="165"/>
      <c r="F15" s="160" t="s">
        <v>103</v>
      </c>
      <c r="G15" s="159" t="s">
        <v>87</v>
      </c>
      <c r="H15" s="160" t="s">
        <v>88</v>
      </c>
      <c r="I15" s="161" t="s">
        <v>88</v>
      </c>
      <c r="J15" s="124" t="s">
        <v>89</v>
      </c>
      <c r="K15" s="144"/>
      <c r="L15" s="145"/>
      <c r="M15" s="146"/>
      <c r="N15" s="147"/>
      <c r="O15" s="143"/>
    </row>
    <row r="16" spans="1:15" ht="15" customHeight="1" x14ac:dyDescent="0.25">
      <c r="A16" s="123" t="s">
        <v>104</v>
      </c>
      <c r="B16" s="123" t="s">
        <v>98</v>
      </c>
      <c r="C16" s="126"/>
      <c r="D16" s="160">
        <v>2.5</v>
      </c>
      <c r="E16" s="165"/>
      <c r="F16" s="160">
        <v>2.5</v>
      </c>
      <c r="G16" s="159">
        <v>0</v>
      </c>
      <c r="H16" s="160">
        <v>265</v>
      </c>
      <c r="I16" s="161">
        <v>265</v>
      </c>
      <c r="J16" s="123" t="s">
        <v>105</v>
      </c>
      <c r="K16" s="144"/>
      <c r="L16" s="147"/>
      <c r="M16" s="146"/>
      <c r="N16" s="147"/>
      <c r="O16" s="143"/>
    </row>
    <row r="17" spans="1:15" ht="15" customHeight="1" thickBot="1" x14ac:dyDescent="0.3">
      <c r="A17" s="123" t="s">
        <v>106</v>
      </c>
      <c r="B17" s="123" t="s">
        <v>98</v>
      </c>
      <c r="C17" s="153"/>
      <c r="D17" s="167">
        <v>12</v>
      </c>
      <c r="E17" s="168"/>
      <c r="F17" s="167">
        <v>12</v>
      </c>
      <c r="G17" s="169">
        <v>0</v>
      </c>
      <c r="H17" s="167">
        <v>525</v>
      </c>
      <c r="I17" s="170">
        <v>540.75</v>
      </c>
      <c r="J17" s="123" t="s">
        <v>107</v>
      </c>
      <c r="K17" s="123"/>
      <c r="L17" s="123"/>
      <c r="M17" s="123"/>
      <c r="N17" s="91"/>
      <c r="O17" s="123"/>
    </row>
    <row r="18" spans="1:15" ht="15" customHeight="1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02"/>
      <c r="K18" s="123"/>
      <c r="L18" s="123"/>
      <c r="M18" s="123"/>
      <c r="N18" s="123"/>
      <c r="O18" s="123"/>
    </row>
    <row r="19" spans="1:15" ht="15" customHeight="1" x14ac:dyDescent="0.25">
      <c r="A19" s="91" t="s">
        <v>228</v>
      </c>
      <c r="B19" s="123"/>
      <c r="C19" s="123"/>
      <c r="D19" s="123"/>
      <c r="E19" s="123"/>
      <c r="F19" s="123"/>
      <c r="G19" s="123"/>
      <c r="H19" s="123"/>
      <c r="I19" s="123"/>
      <c r="J19" s="102"/>
      <c r="K19" s="123"/>
      <c r="L19" s="123"/>
      <c r="M19" s="123"/>
      <c r="N19" s="123"/>
      <c r="O19" s="123"/>
    </row>
    <row r="20" spans="1:15" ht="15" customHeight="1" x14ac:dyDescent="0.25">
      <c r="A20" s="91" t="s">
        <v>108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5" ht="15" customHeight="1" x14ac:dyDescent="0.25">
      <c r="A21" s="123" t="s">
        <v>109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 ht="15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ht="1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5" ht="15" customHeight="1" x14ac:dyDescent="0.25">
      <c r="A24" s="92"/>
      <c r="B24" s="92"/>
      <c r="C24" s="92"/>
      <c r="D24" s="92"/>
      <c r="E24" s="92"/>
      <c r="F24" s="92"/>
      <c r="G24" s="171"/>
      <c r="H24" s="172">
        <f>I12-H12</f>
        <v>0.48000000000001819</v>
      </c>
      <c r="I24" s="92"/>
      <c r="J24" s="92"/>
      <c r="K24" s="92"/>
      <c r="L24" s="92"/>
      <c r="M24" s="92"/>
      <c r="N24" s="92"/>
      <c r="O24" s="92"/>
    </row>
    <row r="25" spans="1:15" ht="15" customHeight="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5" ht="15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1:15" ht="15" customHeight="1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1:15" ht="15" customHeight="1" x14ac:dyDescent="0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1:15" ht="15" customHeight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1:15" ht="15" customHeight="1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1:15" ht="15" customHeight="1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1:15" ht="15" customHeight="1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</sheetData>
  <pageMargins left="0.7" right="0.7" top="0.75" bottom="0.75" header="0.3" footer="0.3"/>
  <pageSetup scale="77" fitToHeight="0" orientation="landscape" r:id="rId1"/>
  <headerFooter>
    <oddHeader>&amp;R2D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3F0B-8353-4C21-9EE9-45DC75DAC915}">
  <dimension ref="A1:F86"/>
  <sheetViews>
    <sheetView topLeftCell="A6" zoomScaleNormal="100" workbookViewId="0">
      <selection activeCell="N33" sqref="N33"/>
    </sheetView>
  </sheetViews>
  <sheetFormatPr defaultColWidth="9.140625" defaultRowHeight="15.75" x14ac:dyDescent="0.25"/>
  <cols>
    <col min="1" max="1" width="62.140625" style="3" customWidth="1"/>
    <col min="2" max="2" width="15.85546875" style="3" customWidth="1"/>
    <col min="3" max="3" width="15.28515625" style="3" customWidth="1"/>
    <col min="4" max="4" width="8.5703125" style="3" customWidth="1"/>
    <col min="5" max="16384" width="9.140625" style="3"/>
  </cols>
  <sheetData>
    <row r="1" spans="1:5" ht="18.75" x14ac:dyDescent="0.3">
      <c r="A1" s="1" t="s">
        <v>113</v>
      </c>
    </row>
    <row r="2" spans="1:5" ht="18.75" x14ac:dyDescent="0.3">
      <c r="A2" s="1" t="s">
        <v>114</v>
      </c>
    </row>
    <row r="3" spans="1:5" ht="18.75" x14ac:dyDescent="0.3">
      <c r="A3" s="86" t="s">
        <v>115</v>
      </c>
    </row>
    <row r="4" spans="1:5" ht="16.5" thickBot="1" x14ac:dyDescent="0.3">
      <c r="A4" s="3" t="s">
        <v>116</v>
      </c>
    </row>
    <row r="5" spans="1:5" x14ac:dyDescent="0.25">
      <c r="B5" s="7" t="s">
        <v>22</v>
      </c>
      <c r="C5" s="8" t="s">
        <v>7</v>
      </c>
      <c r="D5" s="193" t="s">
        <v>4</v>
      </c>
      <c r="E5" s="9" t="s">
        <v>5</v>
      </c>
    </row>
    <row r="6" spans="1:5" ht="16.5" thickBot="1" x14ac:dyDescent="0.3">
      <c r="B6" s="10" t="s">
        <v>117</v>
      </c>
      <c r="C6" s="194" t="s">
        <v>117</v>
      </c>
      <c r="D6" s="11" t="s">
        <v>9</v>
      </c>
      <c r="E6" s="195" t="s">
        <v>9</v>
      </c>
    </row>
    <row r="7" spans="1:5" ht="15" customHeight="1" x14ac:dyDescent="0.3">
      <c r="A7" s="1" t="s">
        <v>118</v>
      </c>
      <c r="B7" s="196"/>
      <c r="C7" s="108"/>
      <c r="D7" s="197"/>
    </row>
    <row r="8" spans="1:5" ht="15" customHeight="1" x14ac:dyDescent="0.25">
      <c r="A8" s="6" t="s">
        <v>229</v>
      </c>
      <c r="B8" s="196"/>
      <c r="C8" s="108"/>
      <c r="D8" s="197"/>
    </row>
    <row r="9" spans="1:5" ht="15" customHeight="1" x14ac:dyDescent="0.25">
      <c r="A9" s="3" t="s">
        <v>119</v>
      </c>
      <c r="B9" s="2">
        <v>6200</v>
      </c>
      <c r="C9" s="2">
        <v>6500</v>
      </c>
      <c r="D9" s="197">
        <f>SUM(C9-B9)/B9</f>
        <v>4.8387096774193547E-2</v>
      </c>
      <c r="E9" s="13">
        <f>C9-B9</f>
        <v>300</v>
      </c>
    </row>
    <row r="10" spans="1:5" ht="15" customHeight="1" x14ac:dyDescent="0.25">
      <c r="A10" s="3" t="s">
        <v>120</v>
      </c>
      <c r="B10" s="2">
        <v>6200</v>
      </c>
      <c r="C10" s="2">
        <v>6500</v>
      </c>
      <c r="D10" s="197">
        <f>SUM(C10-B10)/B10</f>
        <v>4.8387096774193547E-2</v>
      </c>
      <c r="E10" s="13">
        <f t="shared" ref="E10:E62" si="0">C10-B10</f>
        <v>300</v>
      </c>
    </row>
    <row r="11" spans="1:5" ht="15" customHeight="1" x14ac:dyDescent="0.25">
      <c r="A11" s="3" t="s">
        <v>121</v>
      </c>
      <c r="B11" s="2">
        <v>6800</v>
      </c>
      <c r="C11" s="2">
        <v>7100</v>
      </c>
      <c r="D11" s="197">
        <f>SUM(C11-B11)/B11</f>
        <v>4.4117647058823532E-2</v>
      </c>
      <c r="E11" s="13">
        <f t="shared" si="0"/>
        <v>300</v>
      </c>
    </row>
    <row r="12" spans="1:5" ht="15" customHeight="1" x14ac:dyDescent="0.25">
      <c r="B12" s="2"/>
      <c r="C12" s="2"/>
      <c r="D12" s="197"/>
      <c r="E12" s="13"/>
    </row>
    <row r="13" spans="1:5" ht="15" customHeight="1" x14ac:dyDescent="0.3">
      <c r="A13" s="1" t="s">
        <v>122</v>
      </c>
      <c r="B13" s="2"/>
      <c r="C13" s="198"/>
      <c r="D13" s="197"/>
      <c r="E13" s="13"/>
    </row>
    <row r="14" spans="1:5" ht="15" customHeight="1" x14ac:dyDescent="0.25">
      <c r="A14" s="6" t="s">
        <v>123</v>
      </c>
      <c r="B14" s="2"/>
      <c r="C14" s="2"/>
      <c r="D14" s="197"/>
      <c r="E14" s="13"/>
    </row>
    <row r="15" spans="1:5" ht="15" customHeight="1" x14ac:dyDescent="0.25">
      <c r="A15" s="6" t="s">
        <v>124</v>
      </c>
      <c r="B15" s="2"/>
      <c r="C15" s="2"/>
      <c r="D15" s="197"/>
      <c r="E15" s="13"/>
    </row>
    <row r="16" spans="1:5" ht="15" customHeight="1" x14ac:dyDescent="0.25">
      <c r="A16" s="3" t="s">
        <v>125</v>
      </c>
      <c r="B16" s="2">
        <f>380*10</f>
        <v>3800</v>
      </c>
      <c r="C16" s="2">
        <f>390*10</f>
        <v>3900</v>
      </c>
      <c r="D16" s="197">
        <f>SUM(C16-B16)/B16</f>
        <v>2.6315789473684209E-2</v>
      </c>
      <c r="E16" s="13">
        <f t="shared" si="0"/>
        <v>100</v>
      </c>
    </row>
    <row r="17" spans="1:5" ht="15" customHeight="1" x14ac:dyDescent="0.25">
      <c r="A17" s="3" t="s">
        <v>126</v>
      </c>
      <c r="B17" s="2">
        <f>490*10</f>
        <v>4900</v>
      </c>
      <c r="C17" s="2">
        <f>500*10</f>
        <v>5000</v>
      </c>
      <c r="D17" s="197">
        <f>SUM(C17-B17)/B17</f>
        <v>2.0408163265306121E-2</v>
      </c>
      <c r="E17" s="13">
        <f t="shared" si="0"/>
        <v>100</v>
      </c>
    </row>
    <row r="18" spans="1:5" ht="15" customHeight="1" x14ac:dyDescent="0.25">
      <c r="B18" s="2"/>
      <c r="C18" s="2"/>
      <c r="D18" s="197"/>
      <c r="E18" s="13"/>
    </row>
    <row r="19" spans="1:5" ht="15" customHeight="1" x14ac:dyDescent="0.3">
      <c r="A19" s="86" t="s">
        <v>127</v>
      </c>
      <c r="B19" s="2"/>
      <c r="C19" s="2"/>
      <c r="D19" s="87"/>
      <c r="E19" s="13"/>
    </row>
    <row r="20" spans="1:5" ht="15" customHeight="1" x14ac:dyDescent="0.25">
      <c r="A20" s="19" t="s">
        <v>128</v>
      </c>
      <c r="B20" s="2"/>
      <c r="C20" s="2"/>
      <c r="D20" s="87"/>
      <c r="E20" s="13"/>
    </row>
    <row r="21" spans="1:5" x14ac:dyDescent="0.25">
      <c r="A21" s="199" t="s">
        <v>129</v>
      </c>
      <c r="B21" s="2">
        <f>20*247</f>
        <v>4940</v>
      </c>
      <c r="C21" s="2">
        <f>20*247</f>
        <v>4940</v>
      </c>
      <c r="D21" s="87">
        <f>C21/B21-1</f>
        <v>0</v>
      </c>
      <c r="E21" s="13">
        <f t="shared" si="0"/>
        <v>0</v>
      </c>
    </row>
    <row r="22" spans="1:5" x14ac:dyDescent="0.25">
      <c r="A22" s="199" t="s">
        <v>130</v>
      </c>
      <c r="B22" s="2"/>
      <c r="C22" s="2"/>
      <c r="E22" s="13"/>
    </row>
    <row r="23" spans="1:5" ht="15" customHeight="1" x14ac:dyDescent="0.25">
      <c r="A23" s="199"/>
      <c r="B23" s="2"/>
      <c r="C23" s="2"/>
      <c r="D23" s="87"/>
      <c r="E23" s="13"/>
    </row>
    <row r="24" spans="1:5" ht="15" customHeight="1" x14ac:dyDescent="0.3">
      <c r="A24" s="86" t="s">
        <v>131</v>
      </c>
      <c r="B24" s="2"/>
      <c r="C24" s="2"/>
      <c r="E24" s="13"/>
    </row>
    <row r="25" spans="1:5" ht="15" customHeight="1" x14ac:dyDescent="0.25">
      <c r="A25" s="19" t="s">
        <v>132</v>
      </c>
      <c r="B25" s="2"/>
      <c r="C25" s="2"/>
      <c r="E25" s="13"/>
    </row>
    <row r="26" spans="1:5" ht="15" customHeight="1" x14ac:dyDescent="0.25">
      <c r="A26" s="3" t="s">
        <v>48</v>
      </c>
      <c r="B26" s="2">
        <f>2300*2</f>
        <v>4600</v>
      </c>
      <c r="C26" s="2">
        <f>2500*2</f>
        <v>5000</v>
      </c>
      <c r="D26" s="87">
        <f>SUM(C26-B26)/B26</f>
        <v>8.6956521739130432E-2</v>
      </c>
      <c r="E26" s="13">
        <f t="shared" si="0"/>
        <v>400</v>
      </c>
    </row>
    <row r="27" spans="1:5" ht="15" customHeight="1" x14ac:dyDescent="0.25">
      <c r="A27" s="3" t="s">
        <v>49</v>
      </c>
      <c r="B27" s="2">
        <f>3100*2</f>
        <v>6200</v>
      </c>
      <c r="C27" s="2">
        <f>3300*2</f>
        <v>6600</v>
      </c>
      <c r="D27" s="87">
        <f>SUM(C27-B27)/B27</f>
        <v>6.4516129032258063E-2</v>
      </c>
      <c r="E27" s="13">
        <f t="shared" si="0"/>
        <v>400</v>
      </c>
    </row>
    <row r="28" spans="1:5" ht="15" customHeight="1" x14ac:dyDescent="0.25">
      <c r="A28" s="199"/>
      <c r="B28" s="2"/>
      <c r="C28" s="2"/>
      <c r="D28" s="87"/>
      <c r="E28" s="13"/>
    </row>
    <row r="29" spans="1:5" ht="15" customHeight="1" x14ac:dyDescent="0.3">
      <c r="A29" s="86" t="s">
        <v>133</v>
      </c>
      <c r="B29" s="5"/>
      <c r="C29" s="5"/>
      <c r="E29" s="13"/>
    </row>
    <row r="30" spans="1:5" ht="15" customHeight="1" x14ac:dyDescent="0.25">
      <c r="A30" s="19" t="s">
        <v>134</v>
      </c>
      <c r="B30" s="5"/>
      <c r="C30" s="5"/>
      <c r="E30" s="13"/>
    </row>
    <row r="31" spans="1:5" ht="15" customHeight="1" x14ac:dyDescent="0.25">
      <c r="A31" s="3" t="s">
        <v>48</v>
      </c>
      <c r="B31" s="2">
        <f>2650*2</f>
        <v>5300</v>
      </c>
      <c r="C31" s="2">
        <f>2650*2</f>
        <v>5300</v>
      </c>
      <c r="D31" s="87">
        <f>SUM(C31-B31)/B31</f>
        <v>0</v>
      </c>
      <c r="E31" s="13">
        <f t="shared" si="0"/>
        <v>0</v>
      </c>
    </row>
    <row r="32" spans="1:5" ht="15" customHeight="1" x14ac:dyDescent="0.25">
      <c r="A32" s="3" t="s">
        <v>49</v>
      </c>
      <c r="B32" s="2">
        <f>3250*2</f>
        <v>6500</v>
      </c>
      <c r="C32" s="2">
        <f>3300*2</f>
        <v>6600</v>
      </c>
      <c r="D32" s="87">
        <f>SUM(C32-B32)/B32</f>
        <v>1.5384615384615385E-2</v>
      </c>
      <c r="E32" s="13">
        <f t="shared" si="0"/>
        <v>100</v>
      </c>
    </row>
    <row r="33" spans="1:6" ht="15" customHeight="1" x14ac:dyDescent="0.25">
      <c r="A33" s="3" t="s">
        <v>135</v>
      </c>
      <c r="B33" s="2">
        <f>2500*2</f>
        <v>5000</v>
      </c>
      <c r="C33" s="2">
        <f>2550*2</f>
        <v>5100</v>
      </c>
      <c r="D33" s="87">
        <f>SUM(C33-B33)/B33</f>
        <v>0.02</v>
      </c>
      <c r="E33" s="13">
        <f t="shared" si="0"/>
        <v>100</v>
      </c>
    </row>
    <row r="34" spans="1:6" ht="15" customHeight="1" x14ac:dyDescent="0.25">
      <c r="A34" s="3" t="s">
        <v>136</v>
      </c>
      <c r="B34" s="2">
        <f>2200*2</f>
        <v>4400</v>
      </c>
      <c r="C34" s="2">
        <f>2250*2</f>
        <v>4500</v>
      </c>
      <c r="D34" s="87">
        <f>SUM(C34-B34)/B34</f>
        <v>2.2727272727272728E-2</v>
      </c>
      <c r="E34" s="13">
        <f t="shared" si="0"/>
        <v>100</v>
      </c>
    </row>
    <row r="35" spans="1:6" ht="15" customHeight="1" x14ac:dyDescent="0.25">
      <c r="B35" s="2"/>
      <c r="C35" s="2"/>
      <c r="E35" s="13"/>
    </row>
    <row r="36" spans="1:6" ht="15" customHeight="1" x14ac:dyDescent="0.3">
      <c r="A36" s="86" t="s">
        <v>137</v>
      </c>
      <c r="B36" s="2"/>
      <c r="C36" s="2"/>
      <c r="E36" s="13"/>
    </row>
    <row r="37" spans="1:6" ht="15" customHeight="1" x14ac:dyDescent="0.25">
      <c r="A37" s="19" t="s">
        <v>138</v>
      </c>
      <c r="B37" s="2"/>
      <c r="C37" s="2"/>
      <c r="E37" s="13"/>
    </row>
    <row r="38" spans="1:6" ht="15" customHeight="1" x14ac:dyDescent="0.25">
      <c r="A38" s="3" t="s">
        <v>48</v>
      </c>
      <c r="B38" s="2">
        <f>2300*2</f>
        <v>4600</v>
      </c>
      <c r="C38" s="2">
        <f>2500*2</f>
        <v>5000</v>
      </c>
      <c r="D38" s="87">
        <f>SUM(C38-B38)/B38</f>
        <v>8.6956521739130432E-2</v>
      </c>
      <c r="E38" s="13">
        <f t="shared" ref="E38:E39" si="1">C38-B38</f>
        <v>400</v>
      </c>
    </row>
    <row r="39" spans="1:6" ht="15" customHeight="1" x14ac:dyDescent="0.25">
      <c r="A39" s="3" t="s">
        <v>49</v>
      </c>
      <c r="B39" s="2">
        <f>3100*2</f>
        <v>6200</v>
      </c>
      <c r="C39" s="2">
        <f>3300*2</f>
        <v>6600</v>
      </c>
      <c r="D39" s="87">
        <f>SUM(C39-B39)/B39</f>
        <v>6.4516129032258063E-2</v>
      </c>
      <c r="E39" s="13">
        <f t="shared" si="1"/>
        <v>400</v>
      </c>
    </row>
    <row r="40" spans="1:6" ht="15" customHeight="1" x14ac:dyDescent="0.25">
      <c r="B40" s="2"/>
      <c r="C40" s="2"/>
      <c r="E40" s="13"/>
    </row>
    <row r="41" spans="1:6" ht="15" customHeight="1" x14ac:dyDescent="0.3">
      <c r="A41" s="1" t="s">
        <v>139</v>
      </c>
      <c r="B41" s="2"/>
      <c r="C41" s="5"/>
      <c r="D41" s="196"/>
      <c r="E41" s="13"/>
    </row>
    <row r="42" spans="1:6" ht="15" customHeight="1" x14ac:dyDescent="0.25">
      <c r="A42" s="6" t="s">
        <v>140</v>
      </c>
      <c r="B42" s="2"/>
      <c r="C42" s="2"/>
      <c r="D42" s="196"/>
      <c r="E42" s="13"/>
    </row>
    <row r="43" spans="1:6" ht="15" customHeight="1" x14ac:dyDescent="0.25">
      <c r="A43" s="199" t="s">
        <v>141</v>
      </c>
      <c r="B43" s="2"/>
      <c r="C43" s="5"/>
      <c r="D43" s="196"/>
      <c r="E43" s="13"/>
    </row>
    <row r="44" spans="1:6" ht="15" customHeight="1" x14ac:dyDescent="0.25">
      <c r="A44" s="3" t="s">
        <v>142</v>
      </c>
      <c r="B44" s="2">
        <f>1300*2</f>
        <v>2600</v>
      </c>
      <c r="C44" s="2">
        <f>1750*2</f>
        <v>3500</v>
      </c>
      <c r="D44" s="87">
        <f>SUM(C44-B44)/B44</f>
        <v>0.34615384615384615</v>
      </c>
      <c r="E44" s="13">
        <f t="shared" si="0"/>
        <v>900</v>
      </c>
      <c r="F44" s="87"/>
    </row>
    <row r="45" spans="1:6" ht="15" customHeight="1" x14ac:dyDescent="0.25">
      <c r="B45" s="2"/>
      <c r="C45" s="5"/>
      <c r="D45" s="196"/>
      <c r="E45" s="13"/>
      <c r="F45" s="87"/>
    </row>
    <row r="46" spans="1:6" ht="15" customHeight="1" x14ac:dyDescent="0.3">
      <c r="A46" s="1" t="s">
        <v>143</v>
      </c>
      <c r="B46" s="2"/>
      <c r="C46" s="5"/>
      <c r="D46" s="196"/>
      <c r="E46" s="13"/>
    </row>
    <row r="47" spans="1:6" ht="15" customHeight="1" x14ac:dyDescent="0.25">
      <c r="A47" s="6" t="s">
        <v>144</v>
      </c>
      <c r="B47" s="2"/>
      <c r="C47" s="5"/>
      <c r="D47" s="196"/>
      <c r="E47" s="13"/>
    </row>
    <row r="48" spans="1:6" ht="15" customHeight="1" x14ac:dyDescent="0.25">
      <c r="A48" s="199" t="s">
        <v>251</v>
      </c>
      <c r="B48" s="2">
        <v>4400</v>
      </c>
      <c r="C48" s="2">
        <v>4600</v>
      </c>
      <c r="D48" s="87">
        <f t="shared" ref="D48:D50" si="2">SUM(C48-B48)/B48</f>
        <v>4.5454545454545456E-2</v>
      </c>
      <c r="E48" s="13">
        <f t="shared" si="0"/>
        <v>200</v>
      </c>
      <c r="F48" s="87"/>
    </row>
    <row r="49" spans="1:6" ht="15" customHeight="1" x14ac:dyDescent="0.25">
      <c r="A49" s="199" t="s">
        <v>249</v>
      </c>
      <c r="B49" s="2">
        <f>2400*2</f>
        <v>4800</v>
      </c>
      <c r="C49" s="2">
        <f>2500*2</f>
        <v>5000</v>
      </c>
      <c r="D49" s="87">
        <f t="shared" si="2"/>
        <v>4.1666666666666664E-2</v>
      </c>
      <c r="E49" s="13">
        <f t="shared" si="0"/>
        <v>200</v>
      </c>
      <c r="F49" s="87"/>
    </row>
    <row r="50" spans="1:6" ht="15" customHeight="1" x14ac:dyDescent="0.25">
      <c r="A50" s="199" t="s">
        <v>250</v>
      </c>
      <c r="B50" s="2">
        <f>1750*2</f>
        <v>3500</v>
      </c>
      <c r="C50" s="2">
        <f>1825*2</f>
        <v>3650</v>
      </c>
      <c r="D50" s="87">
        <f t="shared" si="2"/>
        <v>4.2857142857142858E-2</v>
      </c>
      <c r="E50" s="13">
        <f t="shared" si="0"/>
        <v>150</v>
      </c>
      <c r="F50" s="87"/>
    </row>
    <row r="51" spans="1:6" ht="15" customHeight="1" x14ac:dyDescent="0.25">
      <c r="A51" s="199"/>
      <c r="B51" s="2"/>
      <c r="C51" s="5"/>
      <c r="D51" s="196"/>
      <c r="E51" s="13"/>
      <c r="F51" s="87"/>
    </row>
    <row r="52" spans="1:6" ht="15" customHeight="1" x14ac:dyDescent="0.3">
      <c r="A52" s="86" t="s">
        <v>145</v>
      </c>
      <c r="B52" s="2"/>
      <c r="C52" s="2"/>
      <c r="E52" s="13"/>
    </row>
    <row r="53" spans="1:6" ht="15" customHeight="1" x14ac:dyDescent="0.25">
      <c r="A53" s="19" t="s">
        <v>146</v>
      </c>
      <c r="B53" s="2"/>
      <c r="C53" s="2"/>
      <c r="E53" s="13"/>
    </row>
    <row r="54" spans="1:6" ht="15" customHeight="1" x14ac:dyDescent="0.25">
      <c r="A54" s="19" t="s">
        <v>147</v>
      </c>
      <c r="B54" s="2"/>
      <c r="C54" s="2"/>
      <c r="E54" s="13"/>
    </row>
    <row r="55" spans="1:6" ht="15" customHeight="1" x14ac:dyDescent="0.25">
      <c r="A55" s="200" t="s">
        <v>148</v>
      </c>
      <c r="B55" s="2">
        <v>23588</v>
      </c>
      <c r="C55" s="5">
        <v>24300</v>
      </c>
      <c r="D55" s="87">
        <f>C55/B55-1</f>
        <v>3.0184839749024972E-2</v>
      </c>
      <c r="E55" s="13">
        <f t="shared" si="0"/>
        <v>712</v>
      </c>
    </row>
    <row r="56" spans="1:6" ht="15" customHeight="1" x14ac:dyDescent="0.25">
      <c r="A56" s="3" t="s">
        <v>149</v>
      </c>
      <c r="B56" s="2">
        <v>5896</v>
      </c>
      <c r="C56" s="2">
        <v>6072</v>
      </c>
      <c r="D56" s="87">
        <f>SUM(C56-B56)/B56</f>
        <v>2.9850746268656716E-2</v>
      </c>
      <c r="E56" s="13">
        <f t="shared" si="0"/>
        <v>176</v>
      </c>
    </row>
    <row r="57" spans="1:6" ht="15" customHeight="1" x14ac:dyDescent="0.25">
      <c r="A57" s="3" t="s">
        <v>150</v>
      </c>
      <c r="B57" s="2">
        <v>7862</v>
      </c>
      <c r="C57" s="2">
        <v>8098</v>
      </c>
      <c r="D57" s="87">
        <f>SUM(C57-B57)/B57</f>
        <v>3.0017807173747139E-2</v>
      </c>
      <c r="E57" s="13">
        <f t="shared" si="0"/>
        <v>236</v>
      </c>
    </row>
    <row r="58" spans="1:6" ht="15" customHeight="1" x14ac:dyDescent="0.25">
      <c r="A58" s="3" t="s">
        <v>151</v>
      </c>
      <c r="B58" s="2">
        <v>11796</v>
      </c>
      <c r="C58" s="2">
        <v>12150</v>
      </c>
      <c r="D58" s="87">
        <f>SUM(C58-B58)/B58</f>
        <v>3.0010172939979655E-2</v>
      </c>
      <c r="E58" s="13">
        <f t="shared" si="0"/>
        <v>354</v>
      </c>
    </row>
    <row r="59" spans="1:6" ht="15" customHeight="1" x14ac:dyDescent="0.25">
      <c r="B59" s="5"/>
      <c r="C59" s="5"/>
      <c r="E59" s="13"/>
    </row>
    <row r="60" spans="1:6" ht="15" customHeight="1" x14ac:dyDescent="0.3">
      <c r="A60" s="1" t="s">
        <v>152</v>
      </c>
      <c r="B60" s="2"/>
      <c r="C60" s="198"/>
      <c r="E60" s="13"/>
    </row>
    <row r="61" spans="1:6" ht="15" customHeight="1" x14ac:dyDescent="0.25">
      <c r="A61" s="6" t="s">
        <v>153</v>
      </c>
      <c r="B61" s="2"/>
      <c r="C61" s="198"/>
      <c r="E61" s="13"/>
    </row>
    <row r="62" spans="1:6" ht="15" customHeight="1" x14ac:dyDescent="0.25">
      <c r="A62" s="3" t="s">
        <v>231</v>
      </c>
      <c r="B62" s="2">
        <v>6000</v>
      </c>
      <c r="C62" s="2">
        <v>6000</v>
      </c>
      <c r="D62" s="53">
        <f>SUM(C62-B62)/B62</f>
        <v>0</v>
      </c>
      <c r="E62" s="13">
        <f t="shared" si="0"/>
        <v>0</v>
      </c>
    </row>
    <row r="63" spans="1:6" ht="15" customHeight="1" x14ac:dyDescent="0.25">
      <c r="B63" s="5"/>
      <c r="C63" s="5"/>
      <c r="E63" s="13"/>
    </row>
    <row r="64" spans="1:6" ht="15" customHeight="1" x14ac:dyDescent="0.3">
      <c r="A64" s="86" t="s">
        <v>154</v>
      </c>
      <c r="B64" s="2"/>
      <c r="C64" s="2"/>
      <c r="E64" s="13"/>
    </row>
    <row r="65" spans="1:5" ht="15" customHeight="1" x14ac:dyDescent="0.25">
      <c r="A65" s="19" t="s">
        <v>140</v>
      </c>
      <c r="B65" s="2"/>
      <c r="C65" s="2"/>
      <c r="E65" s="13"/>
    </row>
    <row r="66" spans="1:5" ht="15" customHeight="1" x14ac:dyDescent="0.25">
      <c r="A66" s="199" t="s">
        <v>155</v>
      </c>
      <c r="B66" s="2"/>
      <c r="C66" s="2"/>
      <c r="E66" s="13"/>
    </row>
    <row r="67" spans="1:5" ht="15" customHeight="1" x14ac:dyDescent="0.25">
      <c r="A67" s="3" t="s">
        <v>48</v>
      </c>
      <c r="B67" s="2">
        <v>4250</v>
      </c>
      <c r="C67" s="2">
        <v>4500</v>
      </c>
      <c r="D67" s="197">
        <f>SUM(C67-B67)/B67</f>
        <v>5.8823529411764705E-2</v>
      </c>
      <c r="E67" s="13">
        <f t="shared" ref="E67:E79" si="3">C67-B67</f>
        <v>250</v>
      </c>
    </row>
    <row r="68" spans="1:5" ht="15" customHeight="1" x14ac:dyDescent="0.25">
      <c r="B68" s="5"/>
      <c r="C68" s="5"/>
      <c r="E68" s="13"/>
    </row>
    <row r="69" spans="1:5" ht="15" customHeight="1" x14ac:dyDescent="0.3">
      <c r="A69" s="86" t="s">
        <v>156</v>
      </c>
      <c r="B69" s="2"/>
      <c r="C69" s="2"/>
      <c r="E69" s="13"/>
    </row>
    <row r="70" spans="1:5" ht="15" customHeight="1" x14ac:dyDescent="0.25">
      <c r="A70" s="19" t="s">
        <v>157</v>
      </c>
      <c r="B70" s="2"/>
      <c r="C70" s="2"/>
      <c r="E70" s="13"/>
    </row>
    <row r="71" spans="1:5" ht="15" customHeight="1" x14ac:dyDescent="0.25">
      <c r="A71" s="19" t="s">
        <v>158</v>
      </c>
      <c r="B71" s="2"/>
      <c r="C71" s="2"/>
      <c r="E71" s="13"/>
    </row>
    <row r="72" spans="1:5" ht="15" customHeight="1" x14ac:dyDescent="0.25">
      <c r="A72" s="3" t="s">
        <v>159</v>
      </c>
      <c r="B72" s="2">
        <v>6714</v>
      </c>
      <c r="C72" s="2">
        <v>6848</v>
      </c>
      <c r="D72" s="197">
        <f>SUM(C72-B72)/B72</f>
        <v>1.9958296097706284E-2</v>
      </c>
      <c r="E72" s="13">
        <f t="shared" si="3"/>
        <v>134</v>
      </c>
    </row>
    <row r="73" spans="1:5" ht="15" customHeight="1" x14ac:dyDescent="0.25">
      <c r="B73" s="201"/>
      <c r="C73" s="201"/>
      <c r="E73" s="13"/>
    </row>
    <row r="74" spans="1:5" ht="15" customHeight="1" x14ac:dyDescent="0.3">
      <c r="A74" s="1" t="s">
        <v>160</v>
      </c>
      <c r="B74" s="201"/>
      <c r="C74" s="201"/>
      <c r="E74" s="13"/>
    </row>
    <row r="75" spans="1:5" ht="15" customHeight="1" x14ac:dyDescent="0.25">
      <c r="A75" s="6" t="s">
        <v>161</v>
      </c>
      <c r="B75" s="201"/>
      <c r="C75" s="201"/>
      <c r="E75" s="13"/>
    </row>
    <row r="76" spans="1:5" ht="15" customHeight="1" x14ac:dyDescent="0.25">
      <c r="A76" s="6" t="s">
        <v>162</v>
      </c>
      <c r="B76" s="201"/>
      <c r="C76" s="201"/>
      <c r="E76" s="13"/>
    </row>
    <row r="77" spans="1:5" ht="15" customHeight="1" x14ac:dyDescent="0.25">
      <c r="A77" s="3" t="s">
        <v>163</v>
      </c>
      <c r="B77" s="2">
        <v>7800</v>
      </c>
      <c r="C77" s="2">
        <v>7900</v>
      </c>
      <c r="D77" s="87">
        <f>SUM(C77-B77)/B77</f>
        <v>1.282051282051282E-2</v>
      </c>
      <c r="E77" s="13">
        <f t="shared" si="3"/>
        <v>100</v>
      </c>
    </row>
    <row r="78" spans="1:5" ht="15" customHeight="1" x14ac:dyDescent="0.25">
      <c r="A78" s="3" t="s">
        <v>164</v>
      </c>
      <c r="B78" s="2">
        <v>7400</v>
      </c>
      <c r="C78" s="2">
        <v>7500</v>
      </c>
      <c r="D78" s="87">
        <f>SUM(C78-B78)/B78</f>
        <v>1.3513513513513514E-2</v>
      </c>
      <c r="E78" s="13">
        <f t="shared" si="3"/>
        <v>100</v>
      </c>
    </row>
    <row r="79" spans="1:5" ht="15" customHeight="1" x14ac:dyDescent="0.25">
      <c r="A79" s="3" t="s">
        <v>165</v>
      </c>
      <c r="B79" s="2">
        <f>6800</f>
        <v>6800</v>
      </c>
      <c r="C79" s="2">
        <v>7000</v>
      </c>
      <c r="D79" s="87">
        <f>SUM(C79-B79)/B79</f>
        <v>2.9411764705882353E-2</v>
      </c>
      <c r="E79" s="13">
        <f t="shared" si="3"/>
        <v>200</v>
      </c>
    </row>
    <row r="80" spans="1:5" ht="15" customHeight="1" x14ac:dyDescent="0.25">
      <c r="B80" s="2"/>
      <c r="C80" s="2"/>
      <c r="D80" s="87"/>
    </row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pageMargins left="0.7" right="0.7" top="0.75" bottom="0.75" header="0.3" footer="0.3"/>
  <pageSetup scale="81" orientation="portrait" r:id="rId1"/>
  <headerFooter>
    <oddHeader>&amp;R2E</oddHeader>
  </headerFooter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B7EE-74DF-433C-80DF-1E9153524770}">
  <dimension ref="A1:E103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52.7109375" style="3" customWidth="1"/>
    <col min="2" max="3" width="18.7109375" style="3" bestFit="1" customWidth="1"/>
    <col min="4" max="4" width="10.85546875" style="3" customWidth="1"/>
    <col min="5" max="16384" width="9.140625" style="3"/>
  </cols>
  <sheetData>
    <row r="1" spans="1:5" ht="15" customHeight="1" x14ac:dyDescent="0.25">
      <c r="A1" s="6" t="s">
        <v>113</v>
      </c>
    </row>
    <row r="2" spans="1:5" ht="15" customHeight="1" x14ac:dyDescent="0.25">
      <c r="A2" s="6" t="s">
        <v>166</v>
      </c>
    </row>
    <row r="3" spans="1:5" ht="15" customHeight="1" thickBot="1" x14ac:dyDescent="0.3">
      <c r="A3" s="19" t="s">
        <v>167</v>
      </c>
    </row>
    <row r="4" spans="1:5" ht="15" customHeight="1" x14ac:dyDescent="0.25">
      <c r="B4" s="7" t="s">
        <v>22</v>
      </c>
      <c r="C4" s="8" t="s">
        <v>168</v>
      </c>
      <c r="D4" s="8" t="s">
        <v>4</v>
      </c>
      <c r="E4" s="9" t="s">
        <v>5</v>
      </c>
    </row>
    <row r="5" spans="1:5" ht="15" customHeight="1" thickBot="1" x14ac:dyDescent="0.3">
      <c r="B5" s="10" t="s">
        <v>117</v>
      </c>
      <c r="C5" s="11" t="s">
        <v>117</v>
      </c>
      <c r="D5" s="11" t="s">
        <v>9</v>
      </c>
      <c r="E5" s="195" t="s">
        <v>9</v>
      </c>
    </row>
    <row r="6" spans="1:5" ht="15" customHeight="1" x14ac:dyDescent="0.25">
      <c r="B6" s="196"/>
      <c r="C6" s="118"/>
      <c r="D6" s="87"/>
    </row>
    <row r="7" spans="1:5" ht="15" customHeight="1" x14ac:dyDescent="0.25">
      <c r="A7" s="6" t="s">
        <v>169</v>
      </c>
      <c r="B7" s="202"/>
      <c r="C7" s="202"/>
    </row>
    <row r="8" spans="1:5" ht="15" customHeight="1" x14ac:dyDescent="0.25">
      <c r="A8" s="3" t="s">
        <v>170</v>
      </c>
      <c r="B8" s="202"/>
      <c r="C8" s="202"/>
    </row>
    <row r="9" spans="1:5" ht="15" customHeight="1" x14ac:dyDescent="0.25">
      <c r="A9" s="3" t="s">
        <v>171</v>
      </c>
      <c r="B9" s="202">
        <v>8205</v>
      </c>
      <c r="C9" s="202">
        <v>8610</v>
      </c>
      <c r="D9" s="87">
        <f>SUM(C9-B9)/B9</f>
        <v>4.9360146252285193E-2</v>
      </c>
      <c r="E9" s="201">
        <f>C9-B9</f>
        <v>405</v>
      </c>
    </row>
    <row r="10" spans="1:5" ht="15" customHeight="1" x14ac:dyDescent="0.25">
      <c r="A10" s="3" t="s">
        <v>172</v>
      </c>
      <c r="B10" s="202">
        <v>9025</v>
      </c>
      <c r="C10" s="202">
        <v>9471</v>
      </c>
      <c r="D10" s="87">
        <f>SUM(C10-B10)/B10</f>
        <v>4.9418282548476453E-2</v>
      </c>
      <c r="E10" s="201">
        <f>C10-B10</f>
        <v>446</v>
      </c>
    </row>
    <row r="11" spans="1:5" ht="15" customHeight="1" x14ac:dyDescent="0.25">
      <c r="A11" s="3" t="s">
        <v>173</v>
      </c>
      <c r="B11" s="202">
        <v>9930</v>
      </c>
      <c r="C11" s="202">
        <v>10314</v>
      </c>
      <c r="D11" s="87">
        <f>SUM(C11-B11)/B11</f>
        <v>3.8670694864048338E-2</v>
      </c>
      <c r="E11" s="201">
        <f>C11-B11</f>
        <v>384</v>
      </c>
    </row>
    <row r="12" spans="1:5" ht="15" customHeight="1" x14ac:dyDescent="0.25">
      <c r="B12" s="202"/>
      <c r="C12" s="202"/>
    </row>
    <row r="13" spans="1:5" ht="15" customHeight="1" x14ac:dyDescent="0.25">
      <c r="A13" s="6" t="s">
        <v>174</v>
      </c>
      <c r="B13" s="202" t="s">
        <v>175</v>
      </c>
      <c r="C13" s="202"/>
    </row>
    <row r="14" spans="1:5" ht="15" customHeight="1" x14ac:dyDescent="0.25">
      <c r="A14" s="199"/>
      <c r="B14" s="202" t="s">
        <v>176</v>
      </c>
      <c r="C14" s="202"/>
    </row>
    <row r="15" spans="1:5" ht="15" customHeight="1" x14ac:dyDescent="0.25">
      <c r="B15" s="202"/>
      <c r="C15" s="202"/>
      <c r="D15" s="197"/>
      <c r="E15" s="201"/>
    </row>
    <row r="16" spans="1:5" ht="15" customHeight="1" x14ac:dyDescent="0.25">
      <c r="B16" s="202"/>
      <c r="C16" s="202"/>
      <c r="D16" s="197"/>
      <c r="E16" s="201"/>
    </row>
    <row r="17" spans="1:4" ht="15" customHeight="1" x14ac:dyDescent="0.25">
      <c r="B17" s="201"/>
      <c r="C17" s="201"/>
    </row>
    <row r="18" spans="1:4" ht="15" customHeight="1" x14ac:dyDescent="0.25">
      <c r="A18" s="6"/>
      <c r="B18" s="201"/>
      <c r="C18" s="201"/>
    </row>
    <row r="19" spans="1:4" ht="15" customHeight="1" x14ac:dyDescent="0.25">
      <c r="B19" s="201"/>
      <c r="C19" s="201"/>
    </row>
    <row r="20" spans="1:4" ht="15" customHeight="1" x14ac:dyDescent="0.25">
      <c r="B20" s="201"/>
      <c r="C20" s="201"/>
      <c r="D20" s="53"/>
    </row>
    <row r="21" spans="1:4" ht="15" customHeight="1" x14ac:dyDescent="0.25">
      <c r="B21" s="201"/>
      <c r="C21" s="201"/>
      <c r="D21" s="53"/>
    </row>
    <row r="22" spans="1:4" ht="15" customHeight="1" x14ac:dyDescent="0.25">
      <c r="B22" s="201"/>
      <c r="C22" s="201"/>
      <c r="D22" s="53"/>
    </row>
    <row r="23" spans="1:4" ht="15" customHeight="1" x14ac:dyDescent="0.25">
      <c r="B23" s="201"/>
      <c r="C23" s="201"/>
      <c r="D23" s="53"/>
    </row>
    <row r="24" spans="1:4" ht="15" customHeight="1" x14ac:dyDescent="0.25">
      <c r="B24" s="203"/>
      <c r="C24" s="203"/>
    </row>
    <row r="25" spans="1:4" ht="15" customHeight="1" x14ac:dyDescent="0.25">
      <c r="B25" s="196"/>
      <c r="C25" s="196"/>
    </row>
    <row r="26" spans="1:4" ht="15" customHeight="1" x14ac:dyDescent="0.25">
      <c r="B26" s="203"/>
      <c r="C26" s="203"/>
    </row>
    <row r="32" spans="1:4" ht="15" customHeight="1" x14ac:dyDescent="0.25">
      <c r="B32" s="196"/>
      <c r="C32" s="118"/>
      <c r="D32" s="87"/>
    </row>
    <row r="33" spans="2:3" ht="15" customHeight="1" x14ac:dyDescent="0.25">
      <c r="B33" s="203"/>
      <c r="C33" s="203"/>
    </row>
    <row r="34" spans="2:3" ht="15" customHeight="1" x14ac:dyDescent="0.25">
      <c r="B34" s="203"/>
      <c r="C34" s="203"/>
    </row>
    <row r="35" spans="2:3" ht="15" customHeight="1" x14ac:dyDescent="0.25">
      <c r="B35" s="203"/>
      <c r="C35" s="203"/>
    </row>
    <row r="36" spans="2:3" ht="15" customHeight="1" x14ac:dyDescent="0.25">
      <c r="B36" s="203"/>
      <c r="C36" s="203"/>
    </row>
    <row r="37" spans="2:3" ht="15" customHeight="1" x14ac:dyDescent="0.25">
      <c r="B37" s="203"/>
      <c r="C37" s="203"/>
    </row>
    <row r="38" spans="2:3" ht="15" customHeight="1" x14ac:dyDescent="0.25">
      <c r="B38" s="203"/>
      <c r="C38" s="203"/>
    </row>
    <row r="39" spans="2:3" ht="15" customHeight="1" x14ac:dyDescent="0.25">
      <c r="B39" s="203"/>
      <c r="C39" s="203"/>
    </row>
    <row r="40" spans="2:3" ht="15" customHeight="1" x14ac:dyDescent="0.25">
      <c r="B40" s="203"/>
      <c r="C40" s="203"/>
    </row>
    <row r="41" spans="2:3" ht="15" customHeight="1" x14ac:dyDescent="0.25">
      <c r="B41" s="203"/>
      <c r="C41" s="203"/>
    </row>
    <row r="42" spans="2:3" ht="15" customHeight="1" x14ac:dyDescent="0.25">
      <c r="B42" s="203"/>
      <c r="C42" s="203"/>
    </row>
    <row r="43" spans="2:3" ht="15" customHeight="1" x14ac:dyDescent="0.25">
      <c r="B43" s="203"/>
      <c r="C43" s="203"/>
    </row>
    <row r="44" spans="2:3" ht="15" customHeight="1" x14ac:dyDescent="0.25">
      <c r="B44" s="203"/>
      <c r="C44" s="203"/>
    </row>
    <row r="45" spans="2:3" ht="15" customHeight="1" x14ac:dyDescent="0.25">
      <c r="B45" s="203"/>
      <c r="C45" s="203"/>
    </row>
    <row r="46" spans="2:3" ht="15" customHeight="1" x14ac:dyDescent="0.25">
      <c r="B46" s="203"/>
      <c r="C46" s="203"/>
    </row>
    <row r="47" spans="2:3" ht="15" customHeight="1" x14ac:dyDescent="0.25">
      <c r="B47" s="203"/>
      <c r="C47" s="203"/>
    </row>
    <row r="48" spans="2:3" ht="15" customHeight="1" x14ac:dyDescent="0.25">
      <c r="B48" s="203"/>
      <c r="C48" s="203"/>
    </row>
    <row r="49" spans="2:3" ht="15" customHeight="1" x14ac:dyDescent="0.25">
      <c r="B49" s="203"/>
      <c r="C49" s="203"/>
    </row>
    <row r="50" spans="2:3" ht="15" customHeight="1" x14ac:dyDescent="0.25">
      <c r="B50" s="203"/>
      <c r="C50" s="203"/>
    </row>
    <row r="51" spans="2:3" ht="15" customHeight="1" x14ac:dyDescent="0.25">
      <c r="B51" s="203"/>
      <c r="C51" s="203"/>
    </row>
    <row r="52" spans="2:3" ht="15" customHeight="1" x14ac:dyDescent="0.25">
      <c r="B52" s="203"/>
      <c r="C52" s="203"/>
    </row>
    <row r="53" spans="2:3" ht="15" customHeight="1" x14ac:dyDescent="0.25">
      <c r="B53" s="203"/>
      <c r="C53" s="203"/>
    </row>
    <row r="54" spans="2:3" ht="15" customHeight="1" x14ac:dyDescent="0.25">
      <c r="B54" s="203"/>
      <c r="C54" s="203"/>
    </row>
    <row r="55" spans="2:3" ht="15" customHeight="1" x14ac:dyDescent="0.25">
      <c r="B55" s="203"/>
      <c r="C55" s="203"/>
    </row>
    <row r="56" spans="2:3" ht="15" customHeight="1" x14ac:dyDescent="0.25">
      <c r="B56" s="203"/>
      <c r="C56" s="203"/>
    </row>
    <row r="57" spans="2:3" ht="15" customHeight="1" x14ac:dyDescent="0.25">
      <c r="B57" s="203"/>
      <c r="C57" s="203"/>
    </row>
    <row r="58" spans="2:3" ht="15" customHeight="1" x14ac:dyDescent="0.25">
      <c r="B58" s="203"/>
      <c r="C58" s="203"/>
    </row>
    <row r="59" spans="2:3" ht="15" customHeight="1" x14ac:dyDescent="0.25">
      <c r="B59" s="203"/>
      <c r="C59" s="203"/>
    </row>
    <row r="60" spans="2:3" ht="15" customHeight="1" x14ac:dyDescent="0.25">
      <c r="B60" s="203"/>
      <c r="C60" s="203"/>
    </row>
    <row r="61" spans="2:3" ht="15" customHeight="1" x14ac:dyDescent="0.25">
      <c r="B61" s="203"/>
      <c r="C61" s="203"/>
    </row>
    <row r="62" spans="2:3" ht="15" customHeight="1" x14ac:dyDescent="0.25">
      <c r="B62" s="203"/>
      <c r="C62" s="203"/>
    </row>
    <row r="63" spans="2:3" ht="15" customHeight="1" x14ac:dyDescent="0.25">
      <c r="B63" s="203"/>
      <c r="C63" s="203"/>
    </row>
    <row r="64" spans="2:3" ht="15" customHeight="1" x14ac:dyDescent="0.25">
      <c r="B64" s="203"/>
      <c r="C64" s="203"/>
    </row>
    <row r="65" spans="2:3" ht="15" customHeight="1" x14ac:dyDescent="0.25">
      <c r="B65" s="203"/>
      <c r="C65" s="203"/>
    </row>
    <row r="66" spans="2:3" ht="15" customHeight="1" x14ac:dyDescent="0.25">
      <c r="B66" s="203"/>
      <c r="C66" s="203"/>
    </row>
    <row r="67" spans="2:3" ht="15" customHeight="1" x14ac:dyDescent="0.25">
      <c r="B67" s="203"/>
      <c r="C67" s="203"/>
    </row>
    <row r="68" spans="2:3" ht="15" customHeight="1" x14ac:dyDescent="0.25">
      <c r="B68" s="203"/>
      <c r="C68" s="203"/>
    </row>
    <row r="69" spans="2:3" ht="15" customHeight="1" x14ac:dyDescent="0.25">
      <c r="B69" s="203"/>
      <c r="C69" s="203"/>
    </row>
    <row r="70" spans="2:3" ht="15" customHeight="1" x14ac:dyDescent="0.25">
      <c r="B70" s="203"/>
      <c r="C70" s="203"/>
    </row>
    <row r="71" spans="2:3" ht="15" customHeight="1" x14ac:dyDescent="0.25">
      <c r="B71" s="203"/>
      <c r="C71" s="203"/>
    </row>
    <row r="72" spans="2:3" ht="15" customHeight="1" x14ac:dyDescent="0.25">
      <c r="B72" s="203"/>
      <c r="C72" s="203"/>
    </row>
    <row r="73" spans="2:3" ht="15" customHeight="1" x14ac:dyDescent="0.25">
      <c r="B73" s="203"/>
      <c r="C73" s="203"/>
    </row>
    <row r="74" spans="2:3" ht="15" customHeight="1" x14ac:dyDescent="0.25">
      <c r="B74" s="203"/>
      <c r="C74" s="203"/>
    </row>
    <row r="75" spans="2:3" ht="15" customHeight="1" x14ac:dyDescent="0.25">
      <c r="B75" s="203"/>
      <c r="C75" s="203"/>
    </row>
    <row r="76" spans="2:3" ht="15" customHeight="1" x14ac:dyDescent="0.25">
      <c r="B76" s="203"/>
      <c r="C76" s="203"/>
    </row>
    <row r="77" spans="2:3" ht="15" customHeight="1" x14ac:dyDescent="0.25">
      <c r="B77" s="203"/>
      <c r="C77" s="203"/>
    </row>
    <row r="78" spans="2:3" ht="15" customHeight="1" x14ac:dyDescent="0.25">
      <c r="B78" s="203"/>
      <c r="C78" s="203"/>
    </row>
    <row r="79" spans="2:3" ht="15" customHeight="1" x14ac:dyDescent="0.25">
      <c r="B79" s="203"/>
      <c r="C79" s="203"/>
    </row>
    <row r="80" spans="2:3" ht="15" customHeight="1" x14ac:dyDescent="0.25">
      <c r="B80" s="203"/>
      <c r="C80" s="203"/>
    </row>
    <row r="81" spans="2:3" ht="15" customHeight="1" x14ac:dyDescent="0.25">
      <c r="B81" s="203"/>
      <c r="C81" s="203"/>
    </row>
    <row r="82" spans="2:3" ht="15" customHeight="1" x14ac:dyDescent="0.25">
      <c r="B82" s="203"/>
      <c r="C82" s="203"/>
    </row>
    <row r="83" spans="2:3" ht="15" customHeight="1" x14ac:dyDescent="0.25">
      <c r="B83" s="203"/>
      <c r="C83" s="203"/>
    </row>
    <row r="84" spans="2:3" ht="15" customHeight="1" x14ac:dyDescent="0.25">
      <c r="B84" s="203"/>
      <c r="C84" s="203"/>
    </row>
    <row r="85" spans="2:3" ht="15" customHeight="1" x14ac:dyDescent="0.25">
      <c r="B85" s="203"/>
      <c r="C85" s="203"/>
    </row>
    <row r="86" spans="2:3" ht="15" customHeight="1" x14ac:dyDescent="0.25">
      <c r="B86" s="203"/>
      <c r="C86" s="203"/>
    </row>
    <row r="87" spans="2:3" ht="15" customHeight="1" x14ac:dyDescent="0.25">
      <c r="B87" s="203"/>
      <c r="C87" s="203"/>
    </row>
    <row r="88" spans="2:3" ht="15" customHeight="1" x14ac:dyDescent="0.25">
      <c r="B88" s="203"/>
      <c r="C88" s="203"/>
    </row>
    <row r="89" spans="2:3" ht="15" customHeight="1" x14ac:dyDescent="0.25">
      <c r="B89" s="203"/>
      <c r="C89" s="203"/>
    </row>
    <row r="90" spans="2:3" ht="15" customHeight="1" x14ac:dyDescent="0.25">
      <c r="B90" s="203"/>
      <c r="C90" s="203"/>
    </row>
    <row r="91" spans="2:3" ht="15" customHeight="1" x14ac:dyDescent="0.25">
      <c r="B91" s="203"/>
      <c r="C91" s="203"/>
    </row>
    <row r="92" spans="2:3" ht="15" customHeight="1" x14ac:dyDescent="0.25">
      <c r="B92" s="203"/>
      <c r="C92" s="203"/>
    </row>
    <row r="93" spans="2:3" ht="15" customHeight="1" x14ac:dyDescent="0.25">
      <c r="B93" s="203"/>
      <c r="C93" s="203"/>
    </row>
    <row r="94" spans="2:3" ht="15" customHeight="1" x14ac:dyDescent="0.25">
      <c r="B94" s="203"/>
      <c r="C94" s="203"/>
    </row>
    <row r="95" spans="2:3" ht="15" customHeight="1" x14ac:dyDescent="0.25">
      <c r="B95" s="203"/>
      <c r="C95" s="203"/>
    </row>
    <row r="96" spans="2:3" ht="15" customHeight="1" x14ac:dyDescent="0.25">
      <c r="B96" s="203"/>
      <c r="C96" s="203"/>
    </row>
    <row r="97" spans="2:3" ht="15" customHeight="1" x14ac:dyDescent="0.25">
      <c r="B97" s="203"/>
      <c r="C97" s="203"/>
    </row>
    <row r="98" spans="2:3" ht="15" customHeight="1" x14ac:dyDescent="0.25">
      <c r="B98" s="203"/>
      <c r="C98" s="203"/>
    </row>
    <row r="99" spans="2:3" ht="15" customHeight="1" x14ac:dyDescent="0.25">
      <c r="B99" s="203"/>
      <c r="C99" s="203"/>
    </row>
    <row r="100" spans="2:3" ht="15" customHeight="1" x14ac:dyDescent="0.25">
      <c r="B100" s="203"/>
      <c r="C100" s="203"/>
    </row>
    <row r="101" spans="2:3" ht="15" customHeight="1" x14ac:dyDescent="0.25">
      <c r="B101" s="203"/>
      <c r="C101" s="203"/>
    </row>
    <row r="102" spans="2:3" ht="15" customHeight="1" x14ac:dyDescent="0.25">
      <c r="B102" s="203"/>
      <c r="C102" s="203"/>
    </row>
    <row r="103" spans="2:3" ht="15" customHeight="1" x14ac:dyDescent="0.25">
      <c r="B103" s="203"/>
      <c r="C103" s="203"/>
    </row>
  </sheetData>
  <pageMargins left="0.7" right="0.7" top="0.75" bottom="0.75" header="0.3" footer="0.3"/>
  <pageSetup scale="75" orientation="portrait" r:id="rId1"/>
  <headerFooter>
    <oddHeader>&amp;R2E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11E7-6378-4E3E-B7EB-DEC22080420D}">
  <dimension ref="A1:Q31"/>
  <sheetViews>
    <sheetView workbookViewId="0">
      <selection sqref="A1:XFD1048576"/>
    </sheetView>
  </sheetViews>
  <sheetFormatPr defaultColWidth="9.140625" defaultRowHeight="15.75" x14ac:dyDescent="0.25"/>
  <cols>
    <col min="1" max="1" width="23" style="3" customWidth="1"/>
    <col min="2" max="5" width="10.42578125" style="3" customWidth="1"/>
    <col min="6" max="6" width="12.42578125" style="3" customWidth="1"/>
    <col min="7" max="7" width="12.140625" style="3" customWidth="1"/>
    <col min="8" max="8" width="10.42578125" style="3" customWidth="1"/>
    <col min="9" max="9" width="12" style="3" customWidth="1"/>
    <col min="10" max="10" width="17" style="3" customWidth="1"/>
    <col min="11" max="11" width="30.7109375" style="3" customWidth="1"/>
    <col min="12" max="12" width="9.140625" style="3"/>
    <col min="13" max="13" width="13" style="3" customWidth="1"/>
    <col min="14" max="16384" width="9.140625" style="3"/>
  </cols>
  <sheetData>
    <row r="1" spans="1:11" ht="18.75" x14ac:dyDescent="0.3">
      <c r="A1" s="1" t="s">
        <v>232</v>
      </c>
    </row>
    <row r="2" spans="1:11" x14ac:dyDescent="0.25">
      <c r="A2" s="6" t="s">
        <v>233</v>
      </c>
    </row>
    <row r="3" spans="1:11" x14ac:dyDescent="0.25">
      <c r="B3" s="204" t="s">
        <v>177</v>
      </c>
      <c r="C3" s="204" t="s">
        <v>178</v>
      </c>
      <c r="D3" s="204" t="s">
        <v>179</v>
      </c>
      <c r="E3" s="204" t="s">
        <v>180</v>
      </c>
      <c r="F3" s="204" t="s">
        <v>181</v>
      </c>
      <c r="G3" s="204" t="s">
        <v>182</v>
      </c>
      <c r="H3" s="204" t="s">
        <v>183</v>
      </c>
      <c r="I3" s="4" t="s">
        <v>184</v>
      </c>
      <c r="J3" s="4" t="s">
        <v>185</v>
      </c>
      <c r="K3" s="4" t="s">
        <v>186</v>
      </c>
    </row>
    <row r="4" spans="1:11" x14ac:dyDescent="0.25">
      <c r="A4" s="6" t="s">
        <v>187</v>
      </c>
    </row>
    <row r="5" spans="1:11" x14ac:dyDescent="0.25">
      <c r="A5" s="3" t="s">
        <v>188</v>
      </c>
      <c r="B5" s="205">
        <v>493256</v>
      </c>
      <c r="C5" s="205">
        <v>774443</v>
      </c>
      <c r="D5" s="205">
        <v>391180</v>
      </c>
      <c r="E5" s="205">
        <v>377165</v>
      </c>
      <c r="F5" s="206">
        <v>323009</v>
      </c>
      <c r="G5" s="206">
        <v>78460</v>
      </c>
      <c r="H5" s="206">
        <v>430435</v>
      </c>
      <c r="I5" s="207">
        <f>SUM(B5:H5)</f>
        <v>2867948</v>
      </c>
      <c r="J5" s="207">
        <f>B5+C5+D5+E5+F5+H5</f>
        <v>2789488</v>
      </c>
    </row>
    <row r="6" spans="1:11" x14ac:dyDescent="0.25">
      <c r="A6" s="3" t="s">
        <v>189</v>
      </c>
      <c r="B6" s="208">
        <v>1250</v>
      </c>
      <c r="C6" s="208">
        <v>2929</v>
      </c>
      <c r="D6" s="208">
        <v>1384</v>
      </c>
      <c r="E6" s="208">
        <v>1267</v>
      </c>
      <c r="F6" s="209">
        <v>1200</v>
      </c>
      <c r="G6" s="209">
        <v>288</v>
      </c>
      <c r="H6" s="209">
        <v>1658</v>
      </c>
      <c r="I6" s="207">
        <f>SUM(B6:H6)</f>
        <v>9976</v>
      </c>
      <c r="J6" s="207">
        <f>B6+C6+D6+E6+F6+H6</f>
        <v>9688</v>
      </c>
    </row>
    <row r="7" spans="1:11" x14ac:dyDescent="0.25">
      <c r="A7" s="3" t="s">
        <v>190</v>
      </c>
      <c r="B7" s="208">
        <v>890</v>
      </c>
      <c r="C7" s="208">
        <v>2880</v>
      </c>
      <c r="D7" s="208">
        <v>1331</v>
      </c>
      <c r="E7" s="208">
        <v>1150</v>
      </c>
      <c r="F7" s="209">
        <v>1049</v>
      </c>
      <c r="G7" s="209">
        <v>288</v>
      </c>
      <c r="H7" s="209">
        <v>1670</v>
      </c>
      <c r="I7" s="207">
        <f>SUM(B7:H7)</f>
        <v>9258</v>
      </c>
      <c r="J7" s="207">
        <f>B7+C7+D7+E7+F7+H7</f>
        <v>8970</v>
      </c>
      <c r="K7" s="210" t="s">
        <v>191</v>
      </c>
    </row>
    <row r="8" spans="1:11" x14ac:dyDescent="0.25">
      <c r="A8" s="3" t="s">
        <v>192</v>
      </c>
      <c r="B8" s="211">
        <v>700</v>
      </c>
      <c r="C8" s="211">
        <v>2200</v>
      </c>
      <c r="D8" s="211">
        <v>1006</v>
      </c>
      <c r="E8" s="211">
        <v>995</v>
      </c>
      <c r="F8" s="212">
        <v>490</v>
      </c>
      <c r="G8" s="212">
        <v>215</v>
      </c>
      <c r="H8" s="212">
        <v>1730</v>
      </c>
      <c r="I8" s="207">
        <f>SUM(B8:H8)</f>
        <v>7336</v>
      </c>
      <c r="J8" s="207">
        <f>B8+C8+D8+E8+F8+H8</f>
        <v>7121</v>
      </c>
      <c r="K8" s="3" t="s">
        <v>234</v>
      </c>
    </row>
    <row r="9" spans="1:11" x14ac:dyDescent="0.25">
      <c r="A9" s="3" t="s">
        <v>193</v>
      </c>
      <c r="B9" s="211">
        <f>B8</f>
        <v>700</v>
      </c>
      <c r="C9" s="211">
        <f>C8</f>
        <v>2200</v>
      </c>
      <c r="D9" s="211">
        <f>D8</f>
        <v>1006</v>
      </c>
      <c r="E9" s="211">
        <f>E8</f>
        <v>995</v>
      </c>
      <c r="F9" s="212">
        <f>F8</f>
        <v>490</v>
      </c>
      <c r="G9" s="212"/>
      <c r="H9" s="212">
        <f>H8</f>
        <v>1730</v>
      </c>
      <c r="I9" s="207">
        <f>SUM(B9:H9)</f>
        <v>7121</v>
      </c>
    </row>
    <row r="11" spans="1:11" x14ac:dyDescent="0.25">
      <c r="A11" s="3" t="s">
        <v>194</v>
      </c>
      <c r="B11" s="29">
        <f>B8/B7</f>
        <v>0.7865168539325843</v>
      </c>
      <c r="C11" s="29">
        <f t="shared" ref="C11:H11" si="0">C8/C7</f>
        <v>0.76388888888888884</v>
      </c>
      <c r="D11" s="29">
        <f t="shared" si="0"/>
        <v>0.75582268970698718</v>
      </c>
      <c r="E11" s="29">
        <f t="shared" si="0"/>
        <v>0.86521739130434783</v>
      </c>
      <c r="F11" s="29">
        <f t="shared" si="0"/>
        <v>0.46711153479504292</v>
      </c>
      <c r="G11" s="29">
        <f t="shared" si="0"/>
        <v>0.74652777777777779</v>
      </c>
      <c r="H11" s="29">
        <f t="shared" si="0"/>
        <v>1.0359281437125749</v>
      </c>
      <c r="I11" s="29">
        <f>AVERAGE(B11:H11)</f>
        <v>0.77443046858831488</v>
      </c>
    </row>
    <row r="12" spans="1:11" x14ac:dyDescent="0.25">
      <c r="A12" s="3" t="s">
        <v>195</v>
      </c>
      <c r="B12" s="29">
        <f>B11</f>
        <v>0.7865168539325843</v>
      </c>
      <c r="C12" s="29">
        <f t="shared" ref="C12:H12" si="1">C11</f>
        <v>0.76388888888888884</v>
      </c>
      <c r="D12" s="29">
        <f t="shared" si="1"/>
        <v>0.75582268970698718</v>
      </c>
      <c r="E12" s="29">
        <f t="shared" si="1"/>
        <v>0.86521739130434783</v>
      </c>
      <c r="F12" s="29">
        <f t="shared" si="1"/>
        <v>0.46711153479504292</v>
      </c>
      <c r="G12" s="29"/>
      <c r="H12" s="29">
        <f t="shared" si="1"/>
        <v>1.0359281437125749</v>
      </c>
      <c r="I12" s="29">
        <f>I9/I7</f>
        <v>0.76917260747461658</v>
      </c>
    </row>
    <row r="14" spans="1:11" x14ac:dyDescent="0.25">
      <c r="A14" s="6" t="s">
        <v>196</v>
      </c>
    </row>
    <row r="15" spans="1:11" x14ac:dyDescent="0.25">
      <c r="B15" s="4" t="s">
        <v>177</v>
      </c>
      <c r="C15" s="4" t="s">
        <v>178</v>
      </c>
      <c r="D15" s="4" t="s">
        <v>179</v>
      </c>
      <c r="E15" s="4" t="s">
        <v>180</v>
      </c>
      <c r="F15" s="4" t="s">
        <v>181</v>
      </c>
      <c r="G15" s="4" t="s">
        <v>197</v>
      </c>
      <c r="H15" s="4" t="s">
        <v>198</v>
      </c>
      <c r="I15" s="4" t="s">
        <v>184</v>
      </c>
      <c r="J15" s="4" t="s">
        <v>185</v>
      </c>
      <c r="K15" s="4" t="s">
        <v>186</v>
      </c>
    </row>
    <row r="16" spans="1:11" x14ac:dyDescent="0.25">
      <c r="A16" s="6" t="s">
        <v>187</v>
      </c>
    </row>
    <row r="17" spans="1:17" x14ac:dyDescent="0.25">
      <c r="A17" s="3" t="s">
        <v>188</v>
      </c>
      <c r="B17" s="206">
        <v>493256</v>
      </c>
      <c r="C17" s="206">
        <v>774443</v>
      </c>
      <c r="D17" s="206">
        <v>391180</v>
      </c>
      <c r="E17" s="206">
        <v>587017</v>
      </c>
      <c r="F17" s="206">
        <v>323009</v>
      </c>
      <c r="G17" s="206">
        <v>78460</v>
      </c>
      <c r="H17" s="206">
        <v>430435</v>
      </c>
      <c r="I17" s="207">
        <f>SUM(B17:H17)</f>
        <v>3077800</v>
      </c>
      <c r="J17" s="207">
        <f>B17+C17+D17+E17+F17+H17</f>
        <v>2999340</v>
      </c>
    </row>
    <row r="18" spans="1:17" x14ac:dyDescent="0.25">
      <c r="A18" s="3" t="s">
        <v>189</v>
      </c>
      <c r="B18" s="209">
        <v>1250</v>
      </c>
      <c r="C18" s="208">
        <v>2929</v>
      </c>
      <c r="D18" s="209">
        <v>1384</v>
      </c>
      <c r="E18" s="209">
        <v>2530</v>
      </c>
      <c r="F18" s="209">
        <v>1200</v>
      </c>
      <c r="G18" s="209">
        <v>288</v>
      </c>
      <c r="H18" s="209">
        <v>1658</v>
      </c>
      <c r="I18" s="207">
        <f>SUM(B18:H18)</f>
        <v>11239</v>
      </c>
      <c r="J18" s="207">
        <f>B18+C18+D18+E18+F18+H18</f>
        <v>10951</v>
      </c>
    </row>
    <row r="19" spans="1:17" x14ac:dyDescent="0.25">
      <c r="A19" s="3" t="s">
        <v>190</v>
      </c>
      <c r="B19" s="209">
        <v>912</v>
      </c>
      <c r="C19" s="208">
        <v>2880</v>
      </c>
      <c r="D19" s="209">
        <v>1326</v>
      </c>
      <c r="E19" s="209">
        <v>1345</v>
      </c>
      <c r="F19" s="209">
        <v>1049</v>
      </c>
      <c r="G19" s="209">
        <v>288</v>
      </c>
      <c r="H19" s="209">
        <v>1670</v>
      </c>
      <c r="I19" s="207">
        <f>SUM(B19:H19)</f>
        <v>9470</v>
      </c>
      <c r="J19" s="207">
        <f>B19+C19+D19+E19+F19+H19</f>
        <v>9182</v>
      </c>
    </row>
    <row r="20" spans="1:17" x14ac:dyDescent="0.25">
      <c r="A20" s="3" t="s">
        <v>192</v>
      </c>
      <c r="B20" s="212">
        <f>(789+735)/2</f>
        <v>762</v>
      </c>
      <c r="C20" s="212">
        <f>(2176+1994)/2</f>
        <v>2085</v>
      </c>
      <c r="D20" s="212">
        <f>(998+916)/2</f>
        <v>957</v>
      </c>
      <c r="E20" s="212">
        <f>(960+920)/2</f>
        <v>940</v>
      </c>
      <c r="F20" s="212">
        <f>(495+437)/2</f>
        <v>466</v>
      </c>
      <c r="G20" s="212">
        <f>(236+178)/2</f>
        <v>207</v>
      </c>
      <c r="H20" s="212">
        <f>(1681+1534)/2</f>
        <v>1607.5</v>
      </c>
      <c r="I20" s="207">
        <f>SUM(B20:H20)</f>
        <v>7024.5</v>
      </c>
      <c r="J20" s="207">
        <f>B20+C20+D20+E20+F20+H20</f>
        <v>6817.5</v>
      </c>
    </row>
    <row r="21" spans="1:17" x14ac:dyDescent="0.25">
      <c r="H21" s="213"/>
    </row>
    <row r="23" spans="1:17" x14ac:dyDescent="0.25">
      <c r="B23" s="29">
        <f t="shared" ref="B23:H23" si="2">B20/B19</f>
        <v>0.83552631578947367</v>
      </c>
      <c r="C23" s="29">
        <f t="shared" si="2"/>
        <v>0.72395833333333337</v>
      </c>
      <c r="D23" s="29">
        <f t="shared" si="2"/>
        <v>0.72171945701357465</v>
      </c>
      <c r="E23" s="29">
        <f t="shared" si="2"/>
        <v>0.6988847583643123</v>
      </c>
      <c r="F23" s="29">
        <f t="shared" si="2"/>
        <v>0.44423260247855101</v>
      </c>
      <c r="G23" s="29">
        <f t="shared" si="2"/>
        <v>0.71875</v>
      </c>
      <c r="H23" s="29">
        <f t="shared" si="2"/>
        <v>0.96257485029940115</v>
      </c>
      <c r="I23" s="29">
        <f>AVERAGE(B23:H23)</f>
        <v>0.72937804532552086</v>
      </c>
    </row>
    <row r="28" spans="1:17" x14ac:dyDescent="0.25">
      <c r="Q28" s="53"/>
    </row>
    <row r="31" spans="1:17" x14ac:dyDescent="0.25">
      <c r="Q31" s="5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DF13-A9D3-4012-84CC-3D20282E2A73}">
  <dimension ref="A1:H28"/>
  <sheetViews>
    <sheetView workbookViewId="0">
      <selection sqref="A1:XFD1048576"/>
    </sheetView>
  </sheetViews>
  <sheetFormatPr defaultColWidth="9.140625" defaultRowHeight="15.75" x14ac:dyDescent="0.25"/>
  <cols>
    <col min="1" max="1" width="36.7109375" style="3" customWidth="1"/>
    <col min="2" max="2" width="12.85546875" style="47" customWidth="1"/>
    <col min="3" max="4" width="12.28515625" style="3" customWidth="1"/>
    <col min="5" max="5" width="10.140625" style="3" customWidth="1"/>
    <col min="6" max="16384" width="9.140625" style="3"/>
  </cols>
  <sheetData>
    <row r="1" spans="1:6" x14ac:dyDescent="0.25">
      <c r="A1" s="214" t="s">
        <v>199</v>
      </c>
      <c r="C1" s="277" t="s">
        <v>200</v>
      </c>
      <c r="D1" s="278"/>
      <c r="E1" s="278"/>
      <c r="F1" s="279"/>
    </row>
    <row r="2" spans="1:6" ht="47.25" x14ac:dyDescent="0.25">
      <c r="A2" s="215"/>
      <c r="B2" s="216" t="s">
        <v>201</v>
      </c>
      <c r="C2" s="217" t="s">
        <v>202</v>
      </c>
      <c r="D2" s="216" t="s">
        <v>203</v>
      </c>
      <c r="E2" s="216" t="s">
        <v>204</v>
      </c>
      <c r="F2" s="215" t="s">
        <v>205</v>
      </c>
    </row>
    <row r="3" spans="1:6" ht="31.5" x14ac:dyDescent="0.25">
      <c r="A3" s="218" t="s">
        <v>206</v>
      </c>
      <c r="B3" s="219" t="s">
        <v>207</v>
      </c>
      <c r="C3" s="220"/>
      <c r="D3" s="221">
        <v>299</v>
      </c>
      <c r="E3" s="222"/>
      <c r="F3" s="223">
        <f>SUM(C3:E3)</f>
        <v>299</v>
      </c>
    </row>
    <row r="4" spans="1:6" x14ac:dyDescent="0.25">
      <c r="A4" s="224" t="s">
        <v>208</v>
      </c>
      <c r="B4" s="225" t="s">
        <v>209</v>
      </c>
      <c r="C4" s="226">
        <v>890</v>
      </c>
      <c r="D4" s="220"/>
      <c r="E4" s="227"/>
      <c r="F4" s="223">
        <f t="shared" ref="F4:F19" si="0">SUM(C4:E4)</f>
        <v>890</v>
      </c>
    </row>
    <row r="5" spans="1:6" x14ac:dyDescent="0.25">
      <c r="A5" s="218" t="s">
        <v>210</v>
      </c>
      <c r="B5" s="219" t="s">
        <v>207</v>
      </c>
      <c r="C5" s="228"/>
      <c r="D5" s="229">
        <v>124</v>
      </c>
      <c r="E5" s="222"/>
      <c r="F5" s="223">
        <f t="shared" si="0"/>
        <v>124</v>
      </c>
    </row>
    <row r="6" spans="1:6" x14ac:dyDescent="0.25">
      <c r="A6" s="230" t="s">
        <v>127</v>
      </c>
      <c r="B6" s="231" t="s">
        <v>207</v>
      </c>
      <c r="C6" s="221">
        <v>84</v>
      </c>
      <c r="D6" s="220"/>
      <c r="E6" s="222"/>
      <c r="F6" s="223">
        <f t="shared" si="0"/>
        <v>84</v>
      </c>
    </row>
    <row r="7" spans="1:6" x14ac:dyDescent="0.25">
      <c r="A7" s="218" t="s">
        <v>211</v>
      </c>
      <c r="B7" s="219" t="s">
        <v>207</v>
      </c>
      <c r="C7" s="227">
        <v>136</v>
      </c>
      <c r="E7" s="227"/>
      <c r="F7" s="223">
        <f>SUM(C7:E7)</f>
        <v>136</v>
      </c>
    </row>
    <row r="8" spans="1:6" x14ac:dyDescent="0.25">
      <c r="A8" s="224" t="s">
        <v>212</v>
      </c>
      <c r="B8" s="225" t="s">
        <v>209</v>
      </c>
      <c r="C8" s="226">
        <v>1331</v>
      </c>
      <c r="D8" s="221">
        <v>142</v>
      </c>
      <c r="E8" s="222"/>
      <c r="F8" s="223">
        <f t="shared" si="0"/>
        <v>1473</v>
      </c>
    </row>
    <row r="9" spans="1:6" x14ac:dyDescent="0.25">
      <c r="A9" s="224" t="s">
        <v>213</v>
      </c>
      <c r="B9" s="225" t="s">
        <v>209</v>
      </c>
      <c r="C9" s="226">
        <v>2880</v>
      </c>
      <c r="D9" s="220"/>
      <c r="E9" s="227">
        <v>369</v>
      </c>
      <c r="F9" s="223">
        <f t="shared" si="0"/>
        <v>3249</v>
      </c>
    </row>
    <row r="10" spans="1:6" x14ac:dyDescent="0.25">
      <c r="A10" s="230" t="s">
        <v>214</v>
      </c>
      <c r="B10" s="232" t="s">
        <v>207</v>
      </c>
      <c r="C10" s="222"/>
      <c r="D10" s="227">
        <v>14</v>
      </c>
      <c r="E10" s="220"/>
      <c r="F10" s="223">
        <f t="shared" si="0"/>
        <v>14</v>
      </c>
    </row>
    <row r="11" spans="1:6" x14ac:dyDescent="0.25">
      <c r="A11" s="218" t="s">
        <v>235</v>
      </c>
      <c r="B11" s="219" t="s">
        <v>207</v>
      </c>
      <c r="C11" s="221">
        <v>112</v>
      </c>
      <c r="D11" s="222"/>
      <c r="E11" s="222"/>
      <c r="F11" s="223">
        <f t="shared" si="0"/>
        <v>112</v>
      </c>
    </row>
    <row r="12" spans="1:6" x14ac:dyDescent="0.25">
      <c r="A12" s="218" t="s">
        <v>236</v>
      </c>
      <c r="B12" s="219" t="s">
        <v>207</v>
      </c>
      <c r="C12" s="229">
        <v>115</v>
      </c>
      <c r="D12" s="222"/>
      <c r="E12" s="222"/>
      <c r="F12" s="223">
        <f t="shared" si="0"/>
        <v>115</v>
      </c>
    </row>
    <row r="13" spans="1:6" x14ac:dyDescent="0.25">
      <c r="A13" s="218" t="s">
        <v>237</v>
      </c>
      <c r="B13" s="219" t="s">
        <v>207</v>
      </c>
      <c r="C13" s="221">
        <v>100</v>
      </c>
      <c r="D13" s="220"/>
      <c r="E13" s="222"/>
      <c r="F13" s="223">
        <f t="shared" si="0"/>
        <v>100</v>
      </c>
    </row>
    <row r="14" spans="1:6" x14ac:dyDescent="0.25">
      <c r="A14" s="224" t="s">
        <v>238</v>
      </c>
      <c r="B14" s="225" t="s">
        <v>209</v>
      </c>
      <c r="C14" s="226">
        <v>288</v>
      </c>
      <c r="D14" s="220"/>
      <c r="E14" s="222"/>
      <c r="F14" s="223">
        <f t="shared" si="0"/>
        <v>288</v>
      </c>
    </row>
    <row r="15" spans="1:6" x14ac:dyDescent="0.25">
      <c r="A15" s="218" t="s">
        <v>215</v>
      </c>
      <c r="B15" s="219" t="s">
        <v>207</v>
      </c>
      <c r="C15" s="220"/>
      <c r="D15" s="221">
        <v>137</v>
      </c>
      <c r="E15" s="222"/>
      <c r="F15" s="223">
        <f t="shared" si="0"/>
        <v>137</v>
      </c>
    </row>
    <row r="16" spans="1:6" x14ac:dyDescent="0.25">
      <c r="A16" s="218" t="s">
        <v>216</v>
      </c>
      <c r="B16" s="219" t="s">
        <v>207</v>
      </c>
      <c r="C16" s="222"/>
      <c r="D16" s="227">
        <v>96</v>
      </c>
      <c r="E16" s="220"/>
      <c r="F16" s="223">
        <f t="shared" si="0"/>
        <v>96</v>
      </c>
    </row>
    <row r="17" spans="1:8" x14ac:dyDescent="0.25">
      <c r="A17" s="224" t="s">
        <v>217</v>
      </c>
      <c r="B17" s="225" t="s">
        <v>209</v>
      </c>
      <c r="C17" s="226">
        <v>1049</v>
      </c>
      <c r="D17" s="221">
        <v>142</v>
      </c>
      <c r="E17" s="222"/>
      <c r="F17" s="223">
        <f t="shared" si="0"/>
        <v>1191</v>
      </c>
    </row>
    <row r="18" spans="1:8" x14ac:dyDescent="0.25">
      <c r="A18" s="224" t="s">
        <v>218</v>
      </c>
      <c r="B18" s="225" t="s">
        <v>209</v>
      </c>
      <c r="C18" s="226">
        <v>1150</v>
      </c>
      <c r="D18" s="228"/>
      <c r="E18" s="227"/>
      <c r="F18" s="223">
        <f t="shared" si="0"/>
        <v>1150</v>
      </c>
    </row>
    <row r="19" spans="1:8" x14ac:dyDescent="0.25">
      <c r="A19" s="224" t="s">
        <v>219</v>
      </c>
      <c r="B19" s="225" t="s">
        <v>209</v>
      </c>
      <c r="C19" s="226">
        <v>1670</v>
      </c>
      <c r="D19" s="221">
        <v>306</v>
      </c>
      <c r="E19" s="222"/>
      <c r="F19" s="223">
        <f t="shared" si="0"/>
        <v>1976</v>
      </c>
    </row>
    <row r="20" spans="1:8" x14ac:dyDescent="0.25">
      <c r="A20" s="233" t="s">
        <v>205</v>
      </c>
      <c r="B20" s="231"/>
      <c r="C20" s="222">
        <f>SUM(C4:C19)</f>
        <v>9805</v>
      </c>
      <c r="D20" s="222">
        <f>SUM(D3:D19)</f>
        <v>1260</v>
      </c>
      <c r="E20" s="222">
        <f>SUM(E3:E19)</f>
        <v>369</v>
      </c>
      <c r="F20" s="223">
        <f>SUM(F3:F19)</f>
        <v>11434</v>
      </c>
    </row>
    <row r="21" spans="1:8" x14ac:dyDescent="0.25">
      <c r="A21" s="234" t="s">
        <v>220</v>
      </c>
      <c r="C21" s="207">
        <f>C19+C18+C17+C14+C9+C8+C4</f>
        <v>9258</v>
      </c>
      <c r="G21" s="207"/>
    </row>
    <row r="22" spans="1:8" x14ac:dyDescent="0.25">
      <c r="A22" s="235" t="s">
        <v>221</v>
      </c>
      <c r="B22" s="236"/>
      <c r="C22" s="237">
        <f>C19+C18+C17+C9+C8+C4</f>
        <v>8970</v>
      </c>
      <c r="H22" s="207"/>
    </row>
    <row r="23" spans="1:8" x14ac:dyDescent="0.25">
      <c r="A23" s="3" t="s">
        <v>222</v>
      </c>
      <c r="B23" s="200"/>
    </row>
    <row r="24" spans="1:8" x14ac:dyDescent="0.25">
      <c r="A24" s="210" t="s">
        <v>223</v>
      </c>
    </row>
    <row r="25" spans="1:8" x14ac:dyDescent="0.25">
      <c r="A25" s="3" t="s">
        <v>224</v>
      </c>
    </row>
    <row r="26" spans="1:8" x14ac:dyDescent="0.25">
      <c r="A26" s="3" t="s">
        <v>225</v>
      </c>
    </row>
    <row r="28" spans="1:8" s="238" customFormat="1" x14ac:dyDescent="0.25">
      <c r="A28" s="238" t="s">
        <v>226</v>
      </c>
      <c r="B28" s="239"/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Average Rates</vt:lpstr>
      <vt:lpstr>2A Res Hall Rates</vt:lpstr>
      <vt:lpstr>2B Student Union</vt:lpstr>
      <vt:lpstr>2C Wellness</vt:lpstr>
      <vt:lpstr>2D Parking </vt:lpstr>
      <vt:lpstr>2E Student Housing Owned</vt:lpstr>
      <vt:lpstr>2E Student Housing Managed</vt:lpstr>
      <vt:lpstr>Occupancy</vt:lpstr>
      <vt:lpstr>Res Life Summary Grid </vt:lpstr>
      <vt:lpstr>'2A Res Hall Rates'!Print_Area</vt:lpstr>
      <vt:lpstr>'2B Student Union'!Print_Area</vt:lpstr>
      <vt:lpstr>'2C Wellness'!Print_Area</vt:lpstr>
      <vt:lpstr>'2D Parking '!Print_Area</vt:lpstr>
      <vt:lpstr>'2E Student Housing Managed'!Print_Area</vt:lpstr>
    </vt:vector>
  </TitlesOfParts>
  <Company>Minnesota State System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Buhl, Kay M</dc:creator>
  <cp:lastModifiedBy>Anderson, Susan S</cp:lastModifiedBy>
  <cp:lastPrinted>2026-05-08T15:12:58Z</cp:lastPrinted>
  <dcterms:created xsi:type="dcterms:W3CDTF">2026-04-09T16:27:29Z</dcterms:created>
  <dcterms:modified xsi:type="dcterms:W3CDTF">2026-06-22T17:53:50Z</dcterms:modified>
</cp:coreProperties>
</file>