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xl/worksheets/sheet25.xml" ContentType="application/vnd.openxmlformats-officedocument.spreadsheetml.worksheet+xml"/>
  <Override PartName="/xl/worksheets/sheet2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Cost Studies\Fy2014\"/>
    </mc:Choice>
  </mc:AlternateContent>
  <bookViews>
    <workbookView xWindow="345" yWindow="-135" windowWidth="11340" windowHeight="6270" firstSheet="37" activeTab="42"/>
  </bookViews>
  <sheets>
    <sheet name="Master Expend Table" sheetId="43" r:id="rId1"/>
    <sheet name="System" sheetId="38" r:id="rId2"/>
    <sheet name="ALEX TC" sheetId="1" r:id="rId3"/>
    <sheet name="ARCCATC" sheetId="48" r:id="rId4"/>
    <sheet name="ANOKARAM CC" sheetId="11" r:id="rId5"/>
    <sheet name="ANOKA TC" sheetId="12" r:id="rId6"/>
    <sheet name="BSU &amp; TC" sheetId="44" r:id="rId7"/>
    <sheet name="BEMIDJI SU" sheetId="37" r:id="rId8"/>
    <sheet name="NTC-Bemidji" sheetId="45" r:id="rId9"/>
    <sheet name="CENTRAL LAKES" sheetId="36" r:id="rId10"/>
    <sheet name="CENTURY" sheetId="35" r:id="rId11"/>
    <sheet name="DAKCTY TC" sheetId="34" r:id="rId12"/>
    <sheet name="FDL CC" sheetId="32" r:id="rId13"/>
    <sheet name="HENN TC" sheetId="31" r:id="rId14"/>
    <sheet name="INVER HILLS" sheetId="29" r:id="rId15"/>
    <sheet name="LAKE SUPERIOR" sheetId="27" r:id="rId16"/>
    <sheet name="METRO SU" sheetId="25" r:id="rId17"/>
    <sheet name="MPLS COLLEGE" sheetId="24" r:id="rId18"/>
    <sheet name="MN SC-SOUTHEAST" sheetId="23" r:id="rId19"/>
    <sheet name="MINNESOTA STATE COLLEGE" sheetId="46" r:id="rId20"/>
    <sheet name="MSU MOORHEAD" sheetId="20" r:id="rId21"/>
    <sheet name="MSU MANKATO" sheetId="22" r:id="rId22"/>
    <sheet name="MN WEST" sheetId="21" r:id="rId23"/>
    <sheet name="NORMANDALE" sheetId="19" r:id="rId24"/>
    <sheet name="NO HENN CC" sheetId="18" r:id="rId25"/>
    <sheet name="NHED" sheetId="39" r:id="rId26"/>
    <sheet name="HIBBING" sheetId="30" r:id="rId27"/>
    <sheet name="ITASCA CC" sheetId="28" r:id="rId28"/>
    <sheet name="MESABI RANGE" sheetId="40" r:id="rId29"/>
    <sheet name="RAINY RIVER" sheetId="14" r:id="rId30"/>
    <sheet name="VERMILION" sheetId="41" r:id="rId31"/>
    <sheet name="NORTHLAND" sheetId="17" r:id="rId32"/>
    <sheet name="PINE TC" sheetId="15" r:id="rId33"/>
    <sheet name="RIDGEWATER" sheetId="13" r:id="rId34"/>
    <sheet name="RIVERLAND" sheetId="10" r:id="rId35"/>
    <sheet name="ROCHESTER" sheetId="9" r:id="rId36"/>
    <sheet name="SAINT PAUL" sheetId="4" r:id="rId37"/>
    <sheet name="SOUTH CENTRAL" sheetId="8" r:id="rId38"/>
    <sheet name="SOUTHWEST MN SU" sheetId="7" r:id="rId39"/>
    <sheet name="ST CLOUD SU" sheetId="6" r:id="rId40"/>
    <sheet name="ST CLOUD TCC" sheetId="5" r:id="rId41"/>
    <sheet name="WINONA SU" sheetId="2" r:id="rId42"/>
    <sheet name="Sheet1" sheetId="47" r:id="rId43"/>
  </sheets>
  <calcPr calcId="152511"/>
</workbook>
</file>

<file path=xl/calcChain.xml><?xml version="1.0" encoding="utf-8"?>
<calcChain xmlns="http://schemas.openxmlformats.org/spreadsheetml/2006/main">
  <c r="I21" i="43" l="1"/>
  <c r="B29" i="48" l="1"/>
  <c r="H9" i="48"/>
  <c r="A1" i="48"/>
  <c r="J7" i="43"/>
  <c r="J9" i="48" s="1"/>
  <c r="I7" i="43"/>
  <c r="I9" i="48" s="1"/>
  <c r="H7" i="43"/>
  <c r="G7" i="43"/>
  <c r="G9" i="48" s="1"/>
  <c r="E7" i="43"/>
  <c r="E9" i="48" s="1"/>
  <c r="D7" i="43"/>
  <c r="D9" i="48" s="1"/>
  <c r="C7" i="43"/>
  <c r="C9" i="48" s="1"/>
  <c r="B7" i="43"/>
  <c r="B9" i="48" s="1"/>
  <c r="K7" i="43" l="1"/>
  <c r="J11" i="48"/>
  <c r="K9" i="48"/>
  <c r="B27" i="48"/>
  <c r="K24" i="43"/>
  <c r="D11" i="48" l="1"/>
  <c r="D12" i="48" s="1"/>
  <c r="C11" i="48"/>
  <c r="C12" i="48" s="1"/>
  <c r="I11" i="48"/>
  <c r="I12" i="48" s="1"/>
  <c r="I14" i="48" s="1"/>
  <c r="C14" i="48" s="1"/>
  <c r="J12" i="48"/>
  <c r="J15" i="48" s="1"/>
  <c r="J18" i="48" s="1"/>
  <c r="J22" i="48" s="1"/>
  <c r="B11" i="48"/>
  <c r="B12" i="48" s="1"/>
  <c r="G11" i="48"/>
  <c r="G12" i="48" s="1"/>
  <c r="H11" i="48"/>
  <c r="H12" i="48" s="1"/>
  <c r="E11" i="48"/>
  <c r="E12" i="48" s="1"/>
  <c r="B9" i="45"/>
  <c r="B27" i="45" s="1"/>
  <c r="C9" i="45"/>
  <c r="D9" i="45"/>
  <c r="E9" i="45"/>
  <c r="G9" i="45"/>
  <c r="H9" i="45"/>
  <c r="I9" i="45"/>
  <c r="J9" i="45"/>
  <c r="J11" i="45" s="1"/>
  <c r="B10" i="43"/>
  <c r="B9" i="37"/>
  <c r="B27" i="37" s="1"/>
  <c r="C9" i="37"/>
  <c r="D9" i="37"/>
  <c r="E9" i="37"/>
  <c r="G9" i="37"/>
  <c r="H9" i="37"/>
  <c r="I9" i="37"/>
  <c r="J9" i="37"/>
  <c r="J11" i="37" s="1"/>
  <c r="J12" i="37" s="1"/>
  <c r="J15" i="37" s="1"/>
  <c r="J18" i="37" s="1"/>
  <c r="J22" i="37" s="1"/>
  <c r="I9" i="2"/>
  <c r="G9" i="2"/>
  <c r="I9" i="5"/>
  <c r="G9" i="5"/>
  <c r="I9" i="6"/>
  <c r="G9" i="6"/>
  <c r="I9" i="7"/>
  <c r="G9" i="7"/>
  <c r="I9" i="8"/>
  <c r="G9" i="8"/>
  <c r="I9" i="4"/>
  <c r="G9" i="4"/>
  <c r="I9" i="9"/>
  <c r="G9" i="9"/>
  <c r="I9" i="10"/>
  <c r="G9" i="10"/>
  <c r="I9" i="13"/>
  <c r="G9" i="13"/>
  <c r="I9" i="15"/>
  <c r="G9" i="15"/>
  <c r="I9" i="17"/>
  <c r="G9" i="17"/>
  <c r="I9" i="41"/>
  <c r="G9" i="41"/>
  <c r="I9" i="14"/>
  <c r="G9" i="14"/>
  <c r="I9" i="40"/>
  <c r="G9" i="40"/>
  <c r="I9" i="28"/>
  <c r="G9" i="28"/>
  <c r="I9" i="30"/>
  <c r="G9" i="30"/>
  <c r="I9" i="18"/>
  <c r="G9" i="18"/>
  <c r="I9" i="19"/>
  <c r="G9" i="19"/>
  <c r="I9" i="21"/>
  <c r="G9" i="21"/>
  <c r="I9" i="22"/>
  <c r="G9" i="22"/>
  <c r="I9" i="20"/>
  <c r="G9" i="20"/>
  <c r="I9" i="46"/>
  <c r="G9" i="46"/>
  <c r="I9" i="23"/>
  <c r="G9" i="23"/>
  <c r="I9" i="24"/>
  <c r="G9" i="24"/>
  <c r="I9" i="25"/>
  <c r="G9" i="25"/>
  <c r="I9" i="27"/>
  <c r="G9" i="27"/>
  <c r="I9" i="29"/>
  <c r="G9" i="29"/>
  <c r="I9" i="31"/>
  <c r="G9" i="31"/>
  <c r="I9" i="32"/>
  <c r="G9" i="32"/>
  <c r="I9" i="34"/>
  <c r="G9" i="34"/>
  <c r="I9" i="35"/>
  <c r="G9" i="35"/>
  <c r="I9" i="36"/>
  <c r="G9" i="36"/>
  <c r="I9" i="12"/>
  <c r="G9" i="12"/>
  <c r="I9" i="11"/>
  <c r="G9" i="11"/>
  <c r="I9" i="1"/>
  <c r="G9" i="1"/>
  <c r="G10" i="43"/>
  <c r="G30" i="43"/>
  <c r="I10" i="43"/>
  <c r="I30" i="43"/>
  <c r="E10" i="43"/>
  <c r="D10" i="43"/>
  <c r="C10" i="43"/>
  <c r="J10" i="43"/>
  <c r="H10" i="43"/>
  <c r="K6" i="43"/>
  <c r="K8" i="43"/>
  <c r="K9" i="43"/>
  <c r="K11" i="43"/>
  <c r="K12" i="43"/>
  <c r="K13" i="43"/>
  <c r="K14" i="43"/>
  <c r="K15" i="43"/>
  <c r="K16" i="43"/>
  <c r="K17" i="43"/>
  <c r="K18" i="43"/>
  <c r="K19" i="43"/>
  <c r="K20" i="43"/>
  <c r="K21" i="43"/>
  <c r="K22" i="43"/>
  <c r="K23" i="43"/>
  <c r="K25" i="43"/>
  <c r="K26" i="43"/>
  <c r="K27" i="43"/>
  <c r="K28" i="43"/>
  <c r="K29" i="43"/>
  <c r="B30" i="43"/>
  <c r="C30" i="43"/>
  <c r="C9" i="39" s="1"/>
  <c r="D30" i="43"/>
  <c r="E30" i="43"/>
  <c r="H30" i="43"/>
  <c r="J30" i="43"/>
  <c r="J9" i="39" s="1"/>
  <c r="K31" i="43"/>
  <c r="K32" i="43"/>
  <c r="K33" i="43"/>
  <c r="K34" i="43"/>
  <c r="K35" i="43"/>
  <c r="K36" i="43"/>
  <c r="K37" i="43"/>
  <c r="K38" i="43"/>
  <c r="K39" i="43"/>
  <c r="K40" i="43"/>
  <c r="K41" i="43"/>
  <c r="K42" i="43"/>
  <c r="K43" i="43"/>
  <c r="K44" i="43"/>
  <c r="K45" i="43"/>
  <c r="K46" i="43"/>
  <c r="K47" i="43"/>
  <c r="B29" i="39"/>
  <c r="B29" i="44"/>
  <c r="J9" i="46"/>
  <c r="J11" i="46" s="1"/>
  <c r="H9" i="46"/>
  <c r="E9" i="46"/>
  <c r="D9" i="46"/>
  <c r="C9" i="46"/>
  <c r="B9" i="46"/>
  <c r="A1" i="46"/>
  <c r="A1" i="45"/>
  <c r="A1" i="44"/>
  <c r="J9" i="2"/>
  <c r="J11" i="2" s="1"/>
  <c r="J12" i="2" s="1"/>
  <c r="J15" i="2" s="1"/>
  <c r="J18" i="2" s="1"/>
  <c r="J22" i="2" s="1"/>
  <c r="H9" i="2"/>
  <c r="E9" i="2"/>
  <c r="D9" i="2"/>
  <c r="C9" i="2"/>
  <c r="B9" i="2"/>
  <c r="B27" i="2" s="1"/>
  <c r="J9" i="5"/>
  <c r="J11" i="5" s="1"/>
  <c r="J12" i="5" s="1"/>
  <c r="J15" i="5" s="1"/>
  <c r="J18" i="5" s="1"/>
  <c r="J22" i="5" s="1"/>
  <c r="H9" i="5"/>
  <c r="E9" i="5"/>
  <c r="D9" i="5"/>
  <c r="C9" i="5"/>
  <c r="B9" i="5"/>
  <c r="B27" i="5" s="1"/>
  <c r="J9" i="6"/>
  <c r="J11" i="6" s="1"/>
  <c r="J12" i="6" s="1"/>
  <c r="J15" i="6" s="1"/>
  <c r="J18" i="6" s="1"/>
  <c r="J22" i="6" s="1"/>
  <c r="H9" i="6"/>
  <c r="E9" i="6"/>
  <c r="D9" i="6"/>
  <c r="C9" i="6"/>
  <c r="B9" i="6"/>
  <c r="B27" i="6" s="1"/>
  <c r="J9" i="7"/>
  <c r="J11" i="7" s="1"/>
  <c r="J12" i="7" s="1"/>
  <c r="J15" i="7" s="1"/>
  <c r="J18" i="7" s="1"/>
  <c r="J22" i="7" s="1"/>
  <c r="H9" i="7"/>
  <c r="E9" i="7"/>
  <c r="D9" i="7"/>
  <c r="C9" i="7"/>
  <c r="B9" i="7"/>
  <c r="B27" i="7" s="1"/>
  <c r="J9" i="8"/>
  <c r="J11" i="8" s="1"/>
  <c r="J12" i="8" s="1"/>
  <c r="J15" i="8" s="1"/>
  <c r="J18" i="8" s="1"/>
  <c r="J22" i="8" s="1"/>
  <c r="H9" i="8"/>
  <c r="E9" i="8"/>
  <c r="D9" i="8"/>
  <c r="C9" i="8"/>
  <c r="B9" i="8"/>
  <c r="B27" i="8" s="1"/>
  <c r="J9" i="4"/>
  <c r="J11" i="4" s="1"/>
  <c r="J12" i="4" s="1"/>
  <c r="J15" i="4" s="1"/>
  <c r="J18" i="4" s="1"/>
  <c r="J22" i="4" s="1"/>
  <c r="H9" i="4"/>
  <c r="E9" i="4"/>
  <c r="D9" i="4"/>
  <c r="C9" i="4"/>
  <c r="B9" i="4"/>
  <c r="B27" i="4" s="1"/>
  <c r="J9" i="9"/>
  <c r="J11" i="9" s="1"/>
  <c r="J12" i="9" s="1"/>
  <c r="J15" i="9" s="1"/>
  <c r="J18" i="9" s="1"/>
  <c r="J22" i="9" s="1"/>
  <c r="H9" i="9"/>
  <c r="E9" i="9"/>
  <c r="D9" i="9"/>
  <c r="C9" i="9"/>
  <c r="B9" i="9"/>
  <c r="B27" i="9" s="1"/>
  <c r="J9" i="10"/>
  <c r="J11" i="10" s="1"/>
  <c r="J12" i="10" s="1"/>
  <c r="J15" i="10" s="1"/>
  <c r="J18" i="10" s="1"/>
  <c r="J22" i="10" s="1"/>
  <c r="H9" i="10"/>
  <c r="E9" i="10"/>
  <c r="D9" i="10"/>
  <c r="C9" i="10"/>
  <c r="B9" i="10"/>
  <c r="B27" i="10" s="1"/>
  <c r="J9" i="13"/>
  <c r="J11" i="13" s="1"/>
  <c r="J12" i="13" s="1"/>
  <c r="J15" i="13" s="1"/>
  <c r="J18" i="13" s="1"/>
  <c r="J22" i="13" s="1"/>
  <c r="H9" i="13"/>
  <c r="E9" i="13"/>
  <c r="D9" i="13"/>
  <c r="C9" i="13"/>
  <c r="B9" i="13"/>
  <c r="B27" i="13" s="1"/>
  <c r="J9" i="15"/>
  <c r="J11" i="15" s="1"/>
  <c r="J12" i="15" s="1"/>
  <c r="J15" i="15" s="1"/>
  <c r="J18" i="15" s="1"/>
  <c r="J22" i="15" s="1"/>
  <c r="H9" i="15"/>
  <c r="E9" i="15"/>
  <c r="D9" i="15"/>
  <c r="C9" i="15"/>
  <c r="B9" i="15"/>
  <c r="J9" i="17"/>
  <c r="J11" i="17" s="1"/>
  <c r="J12" i="17" s="1"/>
  <c r="J15" i="17" s="1"/>
  <c r="J18" i="17" s="1"/>
  <c r="J22" i="17" s="1"/>
  <c r="H9" i="17"/>
  <c r="E9" i="17"/>
  <c r="D9" i="17"/>
  <c r="C9" i="17"/>
  <c r="B9" i="17"/>
  <c r="B27" i="17" s="1"/>
  <c r="J9" i="41"/>
  <c r="J11" i="41" s="1"/>
  <c r="H9" i="41"/>
  <c r="E9" i="41"/>
  <c r="D9" i="41"/>
  <c r="C9" i="41"/>
  <c r="B9" i="41"/>
  <c r="B27" i="41" s="1"/>
  <c r="J9" i="14"/>
  <c r="H9" i="14"/>
  <c r="E9" i="14"/>
  <c r="D9" i="14"/>
  <c r="C9" i="14"/>
  <c r="B9" i="14"/>
  <c r="B27" i="14" s="1"/>
  <c r="J9" i="40"/>
  <c r="H9" i="40"/>
  <c r="E9" i="40"/>
  <c r="D9" i="40"/>
  <c r="C9" i="40"/>
  <c r="B9" i="40"/>
  <c r="B27" i="40" s="1"/>
  <c r="J9" i="28"/>
  <c r="H9" i="28"/>
  <c r="E9" i="28"/>
  <c r="D9" i="28"/>
  <c r="C9" i="28"/>
  <c r="B9" i="28"/>
  <c r="B27" i="28" s="1"/>
  <c r="J9" i="30"/>
  <c r="J11" i="30" s="1"/>
  <c r="J12" i="30" s="1"/>
  <c r="J15" i="30" s="1"/>
  <c r="J18" i="30" s="1"/>
  <c r="J22" i="30" s="1"/>
  <c r="H9" i="30"/>
  <c r="E9" i="30"/>
  <c r="D9" i="30"/>
  <c r="C9" i="30"/>
  <c r="B9" i="30"/>
  <c r="B27" i="30" s="1"/>
  <c r="J9" i="18"/>
  <c r="J11" i="18" s="1"/>
  <c r="J12" i="18" s="1"/>
  <c r="J15" i="18" s="1"/>
  <c r="J18" i="18" s="1"/>
  <c r="J22" i="18" s="1"/>
  <c r="H9" i="18"/>
  <c r="E9" i="18"/>
  <c r="D9" i="18"/>
  <c r="C9" i="18"/>
  <c r="B9" i="18"/>
  <c r="J9" i="19"/>
  <c r="J11" i="19" s="1"/>
  <c r="H9" i="19"/>
  <c r="E9" i="19"/>
  <c r="D9" i="19"/>
  <c r="C9" i="19"/>
  <c r="B9" i="19"/>
  <c r="B27" i="19" s="1"/>
  <c r="J9" i="21"/>
  <c r="J11" i="21" s="1"/>
  <c r="J12" i="21" s="1"/>
  <c r="J15" i="21" s="1"/>
  <c r="J18" i="21" s="1"/>
  <c r="J22" i="21" s="1"/>
  <c r="H9" i="21"/>
  <c r="E9" i="21"/>
  <c r="D9" i="21"/>
  <c r="C9" i="21"/>
  <c r="B9" i="21"/>
  <c r="B27" i="21" s="1"/>
  <c r="J9" i="22"/>
  <c r="J11" i="22" s="1"/>
  <c r="J12" i="22" s="1"/>
  <c r="J15" i="22" s="1"/>
  <c r="J18" i="22" s="1"/>
  <c r="J22" i="22" s="1"/>
  <c r="H9" i="22"/>
  <c r="E9" i="22"/>
  <c r="D9" i="22"/>
  <c r="C9" i="22"/>
  <c r="B9" i="22"/>
  <c r="J9" i="20"/>
  <c r="J11" i="20" s="1"/>
  <c r="J12" i="20" s="1"/>
  <c r="J15" i="20" s="1"/>
  <c r="J18" i="20" s="1"/>
  <c r="J22" i="20" s="1"/>
  <c r="H9" i="20"/>
  <c r="E9" i="20"/>
  <c r="D9" i="20"/>
  <c r="C9" i="20"/>
  <c r="B9" i="20"/>
  <c r="B27" i="20" s="1"/>
  <c r="J9" i="23"/>
  <c r="J11" i="23" s="1"/>
  <c r="J12" i="23" s="1"/>
  <c r="J15" i="23" s="1"/>
  <c r="J18" i="23" s="1"/>
  <c r="J22" i="23" s="1"/>
  <c r="H9" i="23"/>
  <c r="E9" i="23"/>
  <c r="D9" i="23"/>
  <c r="C9" i="23"/>
  <c r="B9" i="23"/>
  <c r="J9" i="24"/>
  <c r="J11" i="24" s="1"/>
  <c r="J12" i="24" s="1"/>
  <c r="J15" i="24" s="1"/>
  <c r="J18" i="24" s="1"/>
  <c r="J22" i="24" s="1"/>
  <c r="H9" i="24"/>
  <c r="E9" i="24"/>
  <c r="D9" i="24"/>
  <c r="C9" i="24"/>
  <c r="B9" i="24"/>
  <c r="J9" i="25"/>
  <c r="J11" i="25" s="1"/>
  <c r="J12" i="25" s="1"/>
  <c r="J15" i="25" s="1"/>
  <c r="J18" i="25" s="1"/>
  <c r="J22" i="25" s="1"/>
  <c r="H9" i="25"/>
  <c r="E9" i="25"/>
  <c r="D9" i="25"/>
  <c r="C9" i="25"/>
  <c r="B9" i="25"/>
  <c r="B27" i="25" s="1"/>
  <c r="J9" i="27"/>
  <c r="J11" i="27" s="1"/>
  <c r="J12" i="27" s="1"/>
  <c r="J15" i="27" s="1"/>
  <c r="J18" i="27" s="1"/>
  <c r="J22" i="27" s="1"/>
  <c r="H9" i="27"/>
  <c r="E9" i="27"/>
  <c r="D9" i="27"/>
  <c r="C9" i="27"/>
  <c r="B9" i="27"/>
  <c r="J9" i="29"/>
  <c r="J11" i="29" s="1"/>
  <c r="J12" i="29" s="1"/>
  <c r="J15" i="29" s="1"/>
  <c r="J18" i="29" s="1"/>
  <c r="J22" i="29" s="1"/>
  <c r="H9" i="29"/>
  <c r="E9" i="29"/>
  <c r="D9" i="29"/>
  <c r="C9" i="29"/>
  <c r="B9" i="29"/>
  <c r="J9" i="31"/>
  <c r="H9" i="31"/>
  <c r="E9" i="31"/>
  <c r="D9" i="31"/>
  <c r="C9" i="31"/>
  <c r="B9" i="31"/>
  <c r="B27" i="31" s="1"/>
  <c r="J9" i="32"/>
  <c r="J11" i="32" s="1"/>
  <c r="H9" i="32"/>
  <c r="E9" i="32"/>
  <c r="D9" i="32"/>
  <c r="C9" i="32"/>
  <c r="B9" i="32"/>
  <c r="B27" i="32" s="1"/>
  <c r="J9" i="34"/>
  <c r="J11" i="34" s="1"/>
  <c r="H9" i="34"/>
  <c r="E9" i="34"/>
  <c r="D9" i="34"/>
  <c r="C9" i="34"/>
  <c r="B9" i="34"/>
  <c r="B27" i="34" s="1"/>
  <c r="J9" i="35"/>
  <c r="J11" i="35" s="1"/>
  <c r="H9" i="35"/>
  <c r="E9" i="35"/>
  <c r="D9" i="35"/>
  <c r="C9" i="35"/>
  <c r="B9" i="35"/>
  <c r="B27" i="35" s="1"/>
  <c r="J9" i="36"/>
  <c r="J11" i="36" s="1"/>
  <c r="H9" i="36"/>
  <c r="E9" i="36"/>
  <c r="D9" i="36"/>
  <c r="C9" i="36"/>
  <c r="B9" i="36"/>
  <c r="B27" i="36" s="1"/>
  <c r="J9" i="12"/>
  <c r="J11" i="12" s="1"/>
  <c r="H9" i="12"/>
  <c r="E9" i="12"/>
  <c r="D9" i="12"/>
  <c r="C9" i="12"/>
  <c r="B9" i="12"/>
  <c r="B27" i="12" s="1"/>
  <c r="J9" i="11"/>
  <c r="J11" i="11" s="1"/>
  <c r="J12" i="11" s="1"/>
  <c r="J15" i="11" s="1"/>
  <c r="J18" i="11" s="1"/>
  <c r="J22" i="11" s="1"/>
  <c r="H9" i="11"/>
  <c r="E9" i="11"/>
  <c r="D9" i="11"/>
  <c r="C9" i="11"/>
  <c r="B9" i="11"/>
  <c r="B27" i="11" s="1"/>
  <c r="C9" i="1"/>
  <c r="J9" i="1"/>
  <c r="J11" i="1" s="1"/>
  <c r="H9" i="1"/>
  <c r="E9" i="1"/>
  <c r="D9" i="1"/>
  <c r="B9" i="1"/>
  <c r="A1" i="1"/>
  <c r="A1" i="2"/>
  <c r="A1" i="4"/>
  <c r="A1" i="5"/>
  <c r="A1" i="6"/>
  <c r="A1" i="7"/>
  <c r="A1" i="8"/>
  <c r="A1" i="9"/>
  <c r="A1" i="10"/>
  <c r="A1" i="13"/>
  <c r="A1" i="15"/>
  <c r="A1" i="17"/>
  <c r="A1" i="41"/>
  <c r="A1" i="14"/>
  <c r="A1" i="40"/>
  <c r="A1" i="28"/>
  <c r="A1" i="39"/>
  <c r="A1" i="18"/>
  <c r="A1" i="19"/>
  <c r="A1" i="21"/>
  <c r="A1" i="22"/>
  <c r="A1" i="20"/>
  <c r="A1" i="23"/>
  <c r="A1" i="24"/>
  <c r="A1" i="25"/>
  <c r="A1" i="27"/>
  <c r="A1" i="29"/>
  <c r="A1" i="30"/>
  <c r="A1" i="31"/>
  <c r="A1" i="32"/>
  <c r="A1" i="34"/>
  <c r="A1" i="35"/>
  <c r="A1" i="36"/>
  <c r="A1" i="37"/>
  <c r="A1" i="11"/>
  <c r="A1" i="12"/>
  <c r="B27" i="15"/>
  <c r="C15" i="48" l="1"/>
  <c r="J11" i="39"/>
  <c r="J12" i="39" s="1"/>
  <c r="J15" i="39" s="1"/>
  <c r="J18" i="39" s="1"/>
  <c r="J22" i="39" s="1"/>
  <c r="D14" i="48"/>
  <c r="D15" i="48" s="1"/>
  <c r="B14" i="48"/>
  <c r="B15" i="48" s="1"/>
  <c r="H14" i="48"/>
  <c r="H15" i="48" s="1"/>
  <c r="I15" i="48"/>
  <c r="I18" i="48" s="1"/>
  <c r="I22" i="48" s="1"/>
  <c r="K12" i="48"/>
  <c r="E14" i="48"/>
  <c r="E15" i="48" s="1"/>
  <c r="G14" i="48"/>
  <c r="G15" i="48" s="1"/>
  <c r="J12" i="45"/>
  <c r="J15" i="45" s="1"/>
  <c r="J18" i="45" s="1"/>
  <c r="J22" i="45" s="1"/>
  <c r="J12" i="12"/>
  <c r="J15" i="12" s="1"/>
  <c r="J18" i="12" s="1"/>
  <c r="J22" i="12" s="1"/>
  <c r="I9" i="39"/>
  <c r="K9" i="28"/>
  <c r="H9" i="39"/>
  <c r="G9" i="39"/>
  <c r="D9" i="39"/>
  <c r="B9" i="39"/>
  <c r="B27" i="39" s="1"/>
  <c r="K9" i="45"/>
  <c r="I11" i="45" s="1"/>
  <c r="I12" i="45" s="1"/>
  <c r="J9" i="44"/>
  <c r="J11" i="44" s="1"/>
  <c r="J12" i="44" s="1"/>
  <c r="J15" i="44" s="1"/>
  <c r="J18" i="44" s="1"/>
  <c r="J22" i="44" s="1"/>
  <c r="I9" i="44"/>
  <c r="H9" i="44"/>
  <c r="G9" i="44"/>
  <c r="E9" i="44"/>
  <c r="E49" i="43"/>
  <c r="E9" i="38" s="1"/>
  <c r="D9" i="44"/>
  <c r="C9" i="44"/>
  <c r="B9" i="44"/>
  <c r="B27" i="44" s="1"/>
  <c r="K9" i="5"/>
  <c r="C11" i="5" s="1"/>
  <c r="C12" i="5" s="1"/>
  <c r="K9" i="34"/>
  <c r="H11" i="34" s="1"/>
  <c r="H12" i="34" s="1"/>
  <c r="J49" i="43"/>
  <c r="J9" i="38" s="1"/>
  <c r="J11" i="38" s="1"/>
  <c r="J12" i="38" s="1"/>
  <c r="J15" i="38" s="1"/>
  <c r="J18" i="38" s="1"/>
  <c r="J22" i="38" s="1"/>
  <c r="K9" i="10"/>
  <c r="D11" i="10" s="1"/>
  <c r="D12" i="10" s="1"/>
  <c r="K9" i="7"/>
  <c r="B11" i="7" s="1"/>
  <c r="B12" i="7" s="1"/>
  <c r="K9" i="2"/>
  <c r="C11" i="2" s="1"/>
  <c r="C12" i="2" s="1"/>
  <c r="K9" i="14"/>
  <c r="K10" i="43"/>
  <c r="J12" i="32"/>
  <c r="J15" i="32" s="1"/>
  <c r="J18" i="32" s="1"/>
  <c r="J22" i="32" s="1"/>
  <c r="K9" i="12"/>
  <c r="B11" i="12" s="1"/>
  <c r="B12" i="12" s="1"/>
  <c r="J12" i="19"/>
  <c r="J15" i="19" s="1"/>
  <c r="J18" i="19" s="1"/>
  <c r="J22" i="19" s="1"/>
  <c r="H49" i="43"/>
  <c r="H9" i="38" s="1"/>
  <c r="K30" i="43"/>
  <c r="E9" i="39"/>
  <c r="J12" i="46"/>
  <c r="J15" i="46" s="1"/>
  <c r="J18" i="46" s="1"/>
  <c r="J22" i="46" s="1"/>
  <c r="I49" i="43"/>
  <c r="I9" i="38" s="1"/>
  <c r="G49" i="43"/>
  <c r="G9" i="38" s="1"/>
  <c r="D49" i="43"/>
  <c r="D9" i="38" s="1"/>
  <c r="C49" i="43"/>
  <c r="C9" i="38" s="1"/>
  <c r="B49" i="43"/>
  <c r="B9" i="38" s="1"/>
  <c r="B27" i="38" s="1"/>
  <c r="K9" i="36"/>
  <c r="G11" i="36" s="1"/>
  <c r="G12" i="36" s="1"/>
  <c r="K9" i="32"/>
  <c r="G11" i="32" s="1"/>
  <c r="G12" i="32" s="1"/>
  <c r="K9" i="17"/>
  <c r="K9" i="9"/>
  <c r="K9" i="4"/>
  <c r="H11" i="4" s="1"/>
  <c r="H12" i="4" s="1"/>
  <c r="K9" i="6"/>
  <c r="K9" i="29"/>
  <c r="D11" i="29" s="1"/>
  <c r="D12" i="29" s="1"/>
  <c r="B27" i="29"/>
  <c r="K9" i="27"/>
  <c r="D11" i="27" s="1"/>
  <c r="D12" i="27" s="1"/>
  <c r="B27" i="27"/>
  <c r="K9" i="25"/>
  <c r="B11" i="25" s="1"/>
  <c r="B12" i="25" s="1"/>
  <c r="B27" i="24"/>
  <c r="K9" i="24"/>
  <c r="B11" i="24" s="1"/>
  <c r="B12" i="24" s="1"/>
  <c r="B27" i="23"/>
  <c r="K9" i="23"/>
  <c r="G11" i="23" s="1"/>
  <c r="G12" i="23" s="1"/>
  <c r="K9" i="20"/>
  <c r="B11" i="20" s="1"/>
  <c r="B12" i="20" s="1"/>
  <c r="K9" i="22"/>
  <c r="B11" i="22" s="1"/>
  <c r="B12" i="22" s="1"/>
  <c r="B27" i="22"/>
  <c r="K9" i="21"/>
  <c r="B11" i="21" s="1"/>
  <c r="B12" i="21" s="1"/>
  <c r="K9" i="19"/>
  <c r="B11" i="19" s="1"/>
  <c r="B12" i="19" s="1"/>
  <c r="B27" i="18"/>
  <c r="K9" i="18"/>
  <c r="K9" i="30"/>
  <c r="C11" i="30" s="1"/>
  <c r="C12" i="30" s="1"/>
  <c r="J11" i="28"/>
  <c r="J12" i="28" s="1"/>
  <c r="J15" i="28" s="1"/>
  <c r="J18" i="28" s="1"/>
  <c r="J22" i="28" s="1"/>
  <c r="K9" i="40"/>
  <c r="J11" i="40"/>
  <c r="J12" i="40" s="1"/>
  <c r="J15" i="40" s="1"/>
  <c r="J18" i="40" s="1"/>
  <c r="J22" i="40" s="1"/>
  <c r="J11" i="14"/>
  <c r="K9" i="41"/>
  <c r="C11" i="41" s="1"/>
  <c r="C12" i="41" s="1"/>
  <c r="B27" i="46"/>
  <c r="K9" i="46"/>
  <c r="J12" i="41"/>
  <c r="J15" i="41" s="1"/>
  <c r="J18" i="41" s="1"/>
  <c r="J22" i="41" s="1"/>
  <c r="K9" i="1"/>
  <c r="B27" i="1"/>
  <c r="K9" i="11"/>
  <c r="K9" i="35"/>
  <c r="J11" i="31"/>
  <c r="J12" i="31" s="1"/>
  <c r="J15" i="31" s="1"/>
  <c r="J18" i="31" s="1"/>
  <c r="J22" i="31" s="1"/>
  <c r="J12" i="1"/>
  <c r="J15" i="1" s="1"/>
  <c r="J18" i="1" s="1"/>
  <c r="J22" i="1" s="1"/>
  <c r="J12" i="36"/>
  <c r="J15" i="36" s="1"/>
  <c r="J18" i="36" s="1"/>
  <c r="J22" i="36" s="1"/>
  <c r="J12" i="35"/>
  <c r="J15" i="35" s="1"/>
  <c r="J18" i="35" s="1"/>
  <c r="J22" i="35" s="1"/>
  <c r="J12" i="34"/>
  <c r="J15" i="34" s="1"/>
  <c r="J18" i="34" s="1"/>
  <c r="J22" i="34" s="1"/>
  <c r="K9" i="31"/>
  <c r="K9" i="15"/>
  <c r="H11" i="15" s="1"/>
  <c r="H12" i="15" s="1"/>
  <c r="K9" i="13"/>
  <c r="K9" i="8"/>
  <c r="K9" i="37"/>
  <c r="D11" i="37" s="1"/>
  <c r="D12" i="37" s="1"/>
  <c r="E11" i="10" l="1"/>
  <c r="E12" i="10" s="1"/>
  <c r="H11" i="7"/>
  <c r="H12" i="7" s="1"/>
  <c r="K49" i="43"/>
  <c r="H11" i="45"/>
  <c r="H12" i="45" s="1"/>
  <c r="H17" i="48"/>
  <c r="H18" i="48" s="1"/>
  <c r="H22" i="48" s="1"/>
  <c r="K15" i="48"/>
  <c r="H11" i="10"/>
  <c r="H12" i="10" s="1"/>
  <c r="I11" i="5"/>
  <c r="I12" i="5" s="1"/>
  <c r="I14" i="5" s="1"/>
  <c r="C14" i="5" s="1"/>
  <c r="C15" i="5" s="1"/>
  <c r="D11" i="45"/>
  <c r="D12" i="45" s="1"/>
  <c r="G11" i="45"/>
  <c r="G12" i="45" s="1"/>
  <c r="B11" i="45"/>
  <c r="B12" i="45" s="1"/>
  <c r="E11" i="45"/>
  <c r="E12" i="45" s="1"/>
  <c r="G11" i="2"/>
  <c r="G12" i="2" s="1"/>
  <c r="B11" i="2"/>
  <c r="B12" i="2" s="1"/>
  <c r="E11" i="5"/>
  <c r="E12" i="5" s="1"/>
  <c r="B11" i="5"/>
  <c r="B12" i="5" s="1"/>
  <c r="H11" i="5"/>
  <c r="H12" i="5" s="1"/>
  <c r="E11" i="7"/>
  <c r="E12" i="7" s="1"/>
  <c r="D11" i="7"/>
  <c r="D12" i="7" s="1"/>
  <c r="I11" i="7"/>
  <c r="I12" i="7" s="1"/>
  <c r="I14" i="7" s="1"/>
  <c r="C11" i="7"/>
  <c r="C12" i="7" s="1"/>
  <c r="G11" i="7"/>
  <c r="G12" i="7" s="1"/>
  <c r="K9" i="39"/>
  <c r="D11" i="39" s="1"/>
  <c r="D12" i="39" s="1"/>
  <c r="C11" i="34"/>
  <c r="C12" i="34" s="1"/>
  <c r="D11" i="34"/>
  <c r="D12" i="34" s="1"/>
  <c r="E11" i="34"/>
  <c r="E12" i="34" s="1"/>
  <c r="C11" i="45"/>
  <c r="C12" i="45" s="1"/>
  <c r="K9" i="44"/>
  <c r="D11" i="44" s="1"/>
  <c r="D12" i="44" s="1"/>
  <c r="C11" i="12"/>
  <c r="C12" i="12" s="1"/>
  <c r="E11" i="12"/>
  <c r="E12" i="12" s="1"/>
  <c r="G11" i="12"/>
  <c r="G12" i="12" s="1"/>
  <c r="G11" i="5"/>
  <c r="G12" i="5" s="1"/>
  <c r="D11" i="5"/>
  <c r="D12" i="5" s="1"/>
  <c r="G11" i="10"/>
  <c r="G12" i="10" s="1"/>
  <c r="B11" i="10"/>
  <c r="B12" i="10" s="1"/>
  <c r="C11" i="32"/>
  <c r="C12" i="32" s="1"/>
  <c r="B11" i="34"/>
  <c r="B12" i="34" s="1"/>
  <c r="G11" i="34"/>
  <c r="G12" i="34" s="1"/>
  <c r="I11" i="34"/>
  <c r="I12" i="34" s="1"/>
  <c r="I14" i="34" s="1"/>
  <c r="D11" i="12"/>
  <c r="D12" i="12" s="1"/>
  <c r="I11" i="12"/>
  <c r="I12" i="12" s="1"/>
  <c r="I14" i="12" s="1"/>
  <c r="H11" i="25"/>
  <c r="H12" i="25" s="1"/>
  <c r="I11" i="14"/>
  <c r="I12" i="14" s="1"/>
  <c r="I14" i="14" s="1"/>
  <c r="C11" i="10"/>
  <c r="C12" i="10" s="1"/>
  <c r="I11" i="10"/>
  <c r="I12" i="10" s="1"/>
  <c r="I14" i="10" s="1"/>
  <c r="I11" i="2"/>
  <c r="I12" i="2" s="1"/>
  <c r="I14" i="2" s="1"/>
  <c r="B14" i="2" s="1"/>
  <c r="H11" i="2"/>
  <c r="H12" i="2" s="1"/>
  <c r="D11" i="2"/>
  <c r="D12" i="2" s="1"/>
  <c r="E11" i="2"/>
  <c r="E12" i="2" s="1"/>
  <c r="H11" i="22"/>
  <c r="H12" i="22" s="1"/>
  <c r="B11" i="29"/>
  <c r="B12" i="29" s="1"/>
  <c r="H11" i="29"/>
  <c r="H12" i="29" s="1"/>
  <c r="H11" i="12"/>
  <c r="H12" i="12" s="1"/>
  <c r="E11" i="30"/>
  <c r="E12" i="30" s="1"/>
  <c r="D11" i="19"/>
  <c r="D12" i="19" s="1"/>
  <c r="H11" i="20"/>
  <c r="H12" i="20" s="1"/>
  <c r="D11" i="20"/>
  <c r="D12" i="20" s="1"/>
  <c r="D11" i="23"/>
  <c r="D12" i="23" s="1"/>
  <c r="D11" i="24"/>
  <c r="D12" i="24" s="1"/>
  <c r="D11" i="25"/>
  <c r="D12" i="25" s="1"/>
  <c r="E11" i="32"/>
  <c r="E12" i="32" s="1"/>
  <c r="E11" i="36"/>
  <c r="E12" i="36" s="1"/>
  <c r="K9" i="38"/>
  <c r="D11" i="38" s="1"/>
  <c r="D12" i="38" s="1"/>
  <c r="C11" i="36"/>
  <c r="C12" i="36" s="1"/>
  <c r="G11" i="37"/>
  <c r="G12" i="37" s="1"/>
  <c r="C11" i="13"/>
  <c r="C12" i="13" s="1"/>
  <c r="H11" i="13"/>
  <c r="H12" i="13" s="1"/>
  <c r="D11" i="13"/>
  <c r="D12" i="13" s="1"/>
  <c r="E11" i="13"/>
  <c r="E12" i="13" s="1"/>
  <c r="B11" i="13"/>
  <c r="B12" i="13" s="1"/>
  <c r="I11" i="13"/>
  <c r="I12" i="13" s="1"/>
  <c r="E11" i="11"/>
  <c r="E12" i="11" s="1"/>
  <c r="I11" i="11"/>
  <c r="I12" i="11" s="1"/>
  <c r="D11" i="11"/>
  <c r="D12" i="11" s="1"/>
  <c r="H11" i="11"/>
  <c r="H12" i="11" s="1"/>
  <c r="C11" i="11"/>
  <c r="C12" i="11" s="1"/>
  <c r="C11" i="37"/>
  <c r="C12" i="37" s="1"/>
  <c r="E11" i="37"/>
  <c r="E12" i="37" s="1"/>
  <c r="H11" i="37"/>
  <c r="H12" i="37" s="1"/>
  <c r="B11" i="37"/>
  <c r="B12" i="37" s="1"/>
  <c r="I11" i="15"/>
  <c r="I12" i="15" s="1"/>
  <c r="D11" i="15"/>
  <c r="D12" i="15" s="1"/>
  <c r="B11" i="15"/>
  <c r="B12" i="15" s="1"/>
  <c r="E11" i="15"/>
  <c r="E12" i="15" s="1"/>
  <c r="C11" i="15"/>
  <c r="C12" i="15" s="1"/>
  <c r="G11" i="46"/>
  <c r="G12" i="46" s="1"/>
  <c r="H11" i="46"/>
  <c r="H12" i="46" s="1"/>
  <c r="D11" i="46"/>
  <c r="D12" i="46" s="1"/>
  <c r="I11" i="46"/>
  <c r="I12" i="46" s="1"/>
  <c r="E11" i="46"/>
  <c r="E12" i="46" s="1"/>
  <c r="C11" i="46"/>
  <c r="C12" i="46" s="1"/>
  <c r="B11" i="46"/>
  <c r="B12" i="46" s="1"/>
  <c r="B11" i="40"/>
  <c r="B12" i="40" s="1"/>
  <c r="I11" i="40"/>
  <c r="I12" i="40" s="1"/>
  <c r="G11" i="40"/>
  <c r="G12" i="40" s="1"/>
  <c r="D11" i="40"/>
  <c r="D12" i="40" s="1"/>
  <c r="H11" i="40"/>
  <c r="H12" i="40" s="1"/>
  <c r="E11" i="40"/>
  <c r="E12" i="40" s="1"/>
  <c r="C11" i="40"/>
  <c r="C12" i="40" s="1"/>
  <c r="B11" i="28"/>
  <c r="B12" i="28" s="1"/>
  <c r="D11" i="28"/>
  <c r="D12" i="28" s="1"/>
  <c r="I11" i="30"/>
  <c r="I12" i="30" s="1"/>
  <c r="D11" i="30"/>
  <c r="D12" i="30" s="1"/>
  <c r="H11" i="30"/>
  <c r="H12" i="30" s="1"/>
  <c r="B11" i="30"/>
  <c r="B12" i="30" s="1"/>
  <c r="E11" i="18"/>
  <c r="E12" i="18" s="1"/>
  <c r="H11" i="18"/>
  <c r="H12" i="18" s="1"/>
  <c r="B11" i="18"/>
  <c r="B12" i="18" s="1"/>
  <c r="C11" i="18"/>
  <c r="C12" i="18" s="1"/>
  <c r="I11" i="18"/>
  <c r="I12" i="18" s="1"/>
  <c r="D11" i="18"/>
  <c r="D12" i="18" s="1"/>
  <c r="C11" i="21"/>
  <c r="C12" i="21" s="1"/>
  <c r="I11" i="21"/>
  <c r="I12" i="21" s="1"/>
  <c r="E11" i="21"/>
  <c r="E12" i="21" s="1"/>
  <c r="D11" i="21"/>
  <c r="D12" i="21" s="1"/>
  <c r="H11" i="21"/>
  <c r="H12" i="21" s="1"/>
  <c r="I11" i="20"/>
  <c r="I12" i="20" s="1"/>
  <c r="C11" i="20"/>
  <c r="C12" i="20" s="1"/>
  <c r="E11" i="20"/>
  <c r="E12" i="20" s="1"/>
  <c r="E11" i="25"/>
  <c r="E12" i="25" s="1"/>
  <c r="I11" i="25"/>
  <c r="I12" i="25" s="1"/>
  <c r="C11" i="25"/>
  <c r="C12" i="25" s="1"/>
  <c r="C11" i="29"/>
  <c r="C12" i="29" s="1"/>
  <c r="I11" i="29"/>
  <c r="I12" i="29" s="1"/>
  <c r="E11" i="29"/>
  <c r="E12" i="29" s="1"/>
  <c r="B11" i="6"/>
  <c r="B12" i="6" s="1"/>
  <c r="C11" i="6"/>
  <c r="C12" i="6" s="1"/>
  <c r="G11" i="6"/>
  <c r="G12" i="6" s="1"/>
  <c r="I11" i="6"/>
  <c r="I12" i="6" s="1"/>
  <c r="D11" i="6"/>
  <c r="D12" i="6" s="1"/>
  <c r="H11" i="6"/>
  <c r="H12" i="6" s="1"/>
  <c r="E11" i="6"/>
  <c r="E12" i="6" s="1"/>
  <c r="H11" i="17"/>
  <c r="H12" i="17" s="1"/>
  <c r="E11" i="17"/>
  <c r="E12" i="17" s="1"/>
  <c r="C11" i="17"/>
  <c r="C12" i="17" s="1"/>
  <c r="B11" i="17"/>
  <c r="B12" i="17" s="1"/>
  <c r="I11" i="17"/>
  <c r="I12" i="17" s="1"/>
  <c r="D11" i="17"/>
  <c r="D12" i="17" s="1"/>
  <c r="G11" i="17"/>
  <c r="G12" i="17" s="1"/>
  <c r="B11" i="36"/>
  <c r="B12" i="36" s="1"/>
  <c r="I11" i="36"/>
  <c r="I12" i="36" s="1"/>
  <c r="H11" i="36"/>
  <c r="H12" i="36" s="1"/>
  <c r="D11" i="36"/>
  <c r="D12" i="36" s="1"/>
  <c r="I14" i="45"/>
  <c r="I15" i="45" s="1"/>
  <c r="I18" i="45" s="1"/>
  <c r="I22" i="45" s="1"/>
  <c r="C11" i="35"/>
  <c r="C12" i="35" s="1"/>
  <c r="B11" i="11"/>
  <c r="B12" i="11" s="1"/>
  <c r="I11" i="37"/>
  <c r="I12" i="37" s="1"/>
  <c r="E11" i="41"/>
  <c r="E12" i="41" s="1"/>
  <c r="H11" i="23"/>
  <c r="H12" i="23" s="1"/>
  <c r="H11" i="24"/>
  <c r="H12" i="24" s="1"/>
  <c r="J12" i="14"/>
  <c r="J15" i="14" s="1"/>
  <c r="J18" i="14" s="1"/>
  <c r="J22" i="14" s="1"/>
  <c r="E11" i="28"/>
  <c r="E12" i="28" s="1"/>
  <c r="C11" i="28"/>
  <c r="C12" i="28" s="1"/>
  <c r="D11" i="22"/>
  <c r="D12" i="22" s="1"/>
  <c r="B11" i="27"/>
  <c r="B12" i="27" s="1"/>
  <c r="H11" i="28"/>
  <c r="H12" i="28" s="1"/>
  <c r="H11" i="14"/>
  <c r="H12" i="14" s="1"/>
  <c r="G11" i="15"/>
  <c r="G12" i="15" s="1"/>
  <c r="G11" i="11"/>
  <c r="G12" i="11" s="1"/>
  <c r="G11" i="18"/>
  <c r="G12" i="18" s="1"/>
  <c r="G11" i="21"/>
  <c r="G12" i="21" s="1"/>
  <c r="G11" i="25"/>
  <c r="G12" i="25" s="1"/>
  <c r="G11" i="29"/>
  <c r="G12" i="29" s="1"/>
  <c r="E11" i="8"/>
  <c r="E12" i="8" s="1"/>
  <c r="C11" i="8"/>
  <c r="C12" i="8" s="1"/>
  <c r="H11" i="8"/>
  <c r="H12" i="8" s="1"/>
  <c r="D11" i="8"/>
  <c r="D12" i="8" s="1"/>
  <c r="I11" i="8"/>
  <c r="I12" i="8" s="1"/>
  <c r="G11" i="8"/>
  <c r="G12" i="8" s="1"/>
  <c r="B11" i="8"/>
  <c r="B12" i="8" s="1"/>
  <c r="D11" i="31"/>
  <c r="D12" i="31" s="1"/>
  <c r="E11" i="31"/>
  <c r="E12" i="31" s="1"/>
  <c r="C11" i="31"/>
  <c r="C12" i="31" s="1"/>
  <c r="G11" i="31"/>
  <c r="G12" i="31" s="1"/>
  <c r="I11" i="31"/>
  <c r="I12" i="31" s="1"/>
  <c r="B11" i="31"/>
  <c r="B12" i="31" s="1"/>
  <c r="H11" i="31"/>
  <c r="H12" i="31" s="1"/>
  <c r="B11" i="35"/>
  <c r="B12" i="35" s="1"/>
  <c r="D11" i="35"/>
  <c r="D12" i="35" s="1"/>
  <c r="H11" i="35"/>
  <c r="H12" i="35" s="1"/>
  <c r="I11" i="35"/>
  <c r="I12" i="35" s="1"/>
  <c r="E11" i="35"/>
  <c r="E12" i="35" s="1"/>
  <c r="G11" i="1"/>
  <c r="G12" i="1" s="1"/>
  <c r="I11" i="1"/>
  <c r="I12" i="1" s="1"/>
  <c r="C11" i="1"/>
  <c r="C12" i="1" s="1"/>
  <c r="D11" i="1"/>
  <c r="D12" i="1" s="1"/>
  <c r="H11" i="1"/>
  <c r="H12" i="1" s="1"/>
  <c r="B11" i="1"/>
  <c r="B12" i="1" s="1"/>
  <c r="E11" i="1"/>
  <c r="E12" i="1" s="1"/>
  <c r="B11" i="41"/>
  <c r="B12" i="41" s="1"/>
  <c r="H11" i="41"/>
  <c r="H12" i="41" s="1"/>
  <c r="D11" i="41"/>
  <c r="D12" i="41" s="1"/>
  <c r="I11" i="41"/>
  <c r="I12" i="41" s="1"/>
  <c r="G11" i="41"/>
  <c r="G12" i="41" s="1"/>
  <c r="C11" i="14"/>
  <c r="C12" i="14" s="1"/>
  <c r="E11" i="14"/>
  <c r="E12" i="14" s="1"/>
  <c r="I11" i="19"/>
  <c r="I12" i="19" s="1"/>
  <c r="H11" i="19"/>
  <c r="H12" i="19" s="1"/>
  <c r="E11" i="19"/>
  <c r="E12" i="19" s="1"/>
  <c r="C11" i="19"/>
  <c r="C12" i="19" s="1"/>
  <c r="I11" i="22"/>
  <c r="I12" i="22" s="1"/>
  <c r="E11" i="22"/>
  <c r="E12" i="22" s="1"/>
  <c r="C11" i="22"/>
  <c r="C12" i="22" s="1"/>
  <c r="E11" i="23"/>
  <c r="E12" i="23" s="1"/>
  <c r="C11" i="23"/>
  <c r="C12" i="23" s="1"/>
  <c r="B11" i="23"/>
  <c r="B12" i="23" s="1"/>
  <c r="I11" i="23"/>
  <c r="I12" i="23" s="1"/>
  <c r="I11" i="24"/>
  <c r="I12" i="24" s="1"/>
  <c r="E11" i="24"/>
  <c r="E12" i="24" s="1"/>
  <c r="C11" i="24"/>
  <c r="C12" i="24" s="1"/>
  <c r="G11" i="24"/>
  <c r="G12" i="24" s="1"/>
  <c r="I11" i="27"/>
  <c r="I12" i="27" s="1"/>
  <c r="G11" i="27"/>
  <c r="G12" i="27" s="1"/>
  <c r="E11" i="27"/>
  <c r="E12" i="27" s="1"/>
  <c r="H11" i="27"/>
  <c r="H12" i="27" s="1"/>
  <c r="C11" i="27"/>
  <c r="C12" i="27" s="1"/>
  <c r="I11" i="4"/>
  <c r="I12" i="4" s="1"/>
  <c r="C11" i="4"/>
  <c r="C12" i="4" s="1"/>
  <c r="E11" i="4"/>
  <c r="E12" i="4" s="1"/>
  <c r="B11" i="4"/>
  <c r="B12" i="4" s="1"/>
  <c r="G11" i="4"/>
  <c r="G12" i="4" s="1"/>
  <c r="D11" i="4"/>
  <c r="D12" i="4" s="1"/>
  <c r="B11" i="9"/>
  <c r="B12" i="9" s="1"/>
  <c r="E11" i="9"/>
  <c r="E12" i="9" s="1"/>
  <c r="I11" i="9"/>
  <c r="I12" i="9" s="1"/>
  <c r="G11" i="9"/>
  <c r="G12" i="9" s="1"/>
  <c r="D11" i="9"/>
  <c r="D12" i="9" s="1"/>
  <c r="C11" i="9"/>
  <c r="C12" i="9" s="1"/>
  <c r="H11" i="9"/>
  <c r="H12" i="9" s="1"/>
  <c r="D11" i="32"/>
  <c r="D12" i="32" s="1"/>
  <c r="H11" i="32"/>
  <c r="H12" i="32" s="1"/>
  <c r="B11" i="32"/>
  <c r="B12" i="32" s="1"/>
  <c r="I11" i="32"/>
  <c r="I12" i="32" s="1"/>
  <c r="I11" i="28"/>
  <c r="I12" i="28" s="1"/>
  <c r="D11" i="14"/>
  <c r="D12" i="14" s="1"/>
  <c r="B11" i="14"/>
  <c r="B12" i="14" s="1"/>
  <c r="G11" i="13"/>
  <c r="G12" i="13" s="1"/>
  <c r="G11" i="22"/>
  <c r="G12" i="22" s="1"/>
  <c r="G11" i="30"/>
  <c r="G12" i="30" s="1"/>
  <c r="G11" i="19"/>
  <c r="G12" i="19" s="1"/>
  <c r="G11" i="20"/>
  <c r="G12" i="20" s="1"/>
  <c r="G11" i="35"/>
  <c r="G12" i="35" s="1"/>
  <c r="G11" i="14"/>
  <c r="G12" i="14" s="1"/>
  <c r="G11" i="28"/>
  <c r="G12" i="28" s="1"/>
  <c r="G14" i="5" l="1"/>
  <c r="B15" i="2"/>
  <c r="H14" i="5"/>
  <c r="H15" i="5" s="1"/>
  <c r="H17" i="5" s="1"/>
  <c r="D17" i="5" s="1"/>
  <c r="E14" i="5"/>
  <c r="E15" i="5" s="1"/>
  <c r="I15" i="5"/>
  <c r="I18" i="5" s="1"/>
  <c r="I22" i="5" s="1"/>
  <c r="G15" i="5"/>
  <c r="B14" i="5"/>
  <c r="B15" i="5" s="1"/>
  <c r="K12" i="45"/>
  <c r="G11" i="44"/>
  <c r="G12" i="44" s="1"/>
  <c r="E17" i="48"/>
  <c r="E18" i="48" s="1"/>
  <c r="C17" i="48"/>
  <c r="C18" i="48" s="1"/>
  <c r="B17" i="48"/>
  <c r="B18" i="48" s="1"/>
  <c r="D17" i="48"/>
  <c r="D18" i="48" s="1"/>
  <c r="G17" i="48"/>
  <c r="G18" i="48" s="1"/>
  <c r="G20" i="48" s="1"/>
  <c r="D14" i="5"/>
  <c r="D15" i="5" s="1"/>
  <c r="H14" i="2"/>
  <c r="H15" i="2" s="1"/>
  <c r="H17" i="2" s="1"/>
  <c r="H18" i="2" s="1"/>
  <c r="H22" i="2" s="1"/>
  <c r="G14" i="2"/>
  <c r="G15" i="2" s="1"/>
  <c r="K12" i="5"/>
  <c r="K12" i="7"/>
  <c r="K12" i="10"/>
  <c r="G11" i="39"/>
  <c r="G12" i="39" s="1"/>
  <c r="E11" i="39"/>
  <c r="E12" i="39" s="1"/>
  <c r="C11" i="39"/>
  <c r="C12" i="39" s="1"/>
  <c r="I11" i="39"/>
  <c r="I12" i="39" s="1"/>
  <c r="I14" i="39" s="1"/>
  <c r="I15" i="39" s="1"/>
  <c r="I18" i="39" s="1"/>
  <c r="I22" i="39" s="1"/>
  <c r="B11" i="39"/>
  <c r="B12" i="39" s="1"/>
  <c r="H11" i="39"/>
  <c r="H12" i="39" s="1"/>
  <c r="C11" i="44"/>
  <c r="C12" i="44" s="1"/>
  <c r="H11" i="44"/>
  <c r="H12" i="44" s="1"/>
  <c r="B11" i="44"/>
  <c r="B12" i="44" s="1"/>
  <c r="I11" i="44"/>
  <c r="I12" i="44" s="1"/>
  <c r="I14" i="44" s="1"/>
  <c r="I15" i="44" s="1"/>
  <c r="I18" i="44" s="1"/>
  <c r="I22" i="44" s="1"/>
  <c r="E11" i="44"/>
  <c r="E12" i="44" s="1"/>
  <c r="K12" i="12"/>
  <c r="K12" i="34"/>
  <c r="D14" i="2"/>
  <c r="D15" i="2" s="1"/>
  <c r="I15" i="2"/>
  <c r="I18" i="2" s="1"/>
  <c r="I22" i="2" s="1"/>
  <c r="C14" i="2"/>
  <c r="C15" i="2" s="1"/>
  <c r="E14" i="2"/>
  <c r="E15" i="2" s="1"/>
  <c r="K12" i="2"/>
  <c r="K12" i="24"/>
  <c r="K12" i="19"/>
  <c r="K12" i="20"/>
  <c r="C11" i="38"/>
  <c r="C12" i="38" s="1"/>
  <c r="B11" i="38"/>
  <c r="B12" i="38" s="1"/>
  <c r="G11" i="38"/>
  <c r="G12" i="38" s="1"/>
  <c r="H11" i="38"/>
  <c r="H12" i="38" s="1"/>
  <c r="I11" i="38"/>
  <c r="I12" i="38" s="1"/>
  <c r="I14" i="38" s="1"/>
  <c r="C14" i="38" s="1"/>
  <c r="E11" i="38"/>
  <c r="E12" i="38" s="1"/>
  <c r="B14" i="12"/>
  <c r="B15" i="12" s="1"/>
  <c r="C14" i="12"/>
  <c r="C15" i="12" s="1"/>
  <c r="D14" i="12"/>
  <c r="D15" i="12" s="1"/>
  <c r="E14" i="12"/>
  <c r="E15" i="12" s="1"/>
  <c r="H14" i="12"/>
  <c r="H15" i="12" s="1"/>
  <c r="G14" i="12"/>
  <c r="G15" i="12" s="1"/>
  <c r="I14" i="32"/>
  <c r="I15" i="32" s="1"/>
  <c r="I18" i="32" s="1"/>
  <c r="I22" i="32" s="1"/>
  <c r="K12" i="32"/>
  <c r="K12" i="9"/>
  <c r="I14" i="4"/>
  <c r="I15" i="4" s="1"/>
  <c r="I18" i="4" s="1"/>
  <c r="I22" i="4" s="1"/>
  <c r="G14" i="7"/>
  <c r="G15" i="7" s="1"/>
  <c r="H14" i="7"/>
  <c r="H15" i="7" s="1"/>
  <c r="C14" i="7"/>
  <c r="C15" i="7" s="1"/>
  <c r="D14" i="7"/>
  <c r="D15" i="7" s="1"/>
  <c r="E14" i="7"/>
  <c r="E15" i="7" s="1"/>
  <c r="B14" i="7"/>
  <c r="B15" i="7" s="1"/>
  <c r="I14" i="27"/>
  <c r="I15" i="27" s="1"/>
  <c r="I18" i="27" s="1"/>
  <c r="I22" i="27" s="1"/>
  <c r="K12" i="23"/>
  <c r="I14" i="19"/>
  <c r="I15" i="19" s="1"/>
  <c r="I18" i="19" s="1"/>
  <c r="I22" i="19" s="1"/>
  <c r="K12" i="41"/>
  <c r="I14" i="35"/>
  <c r="I15" i="35" s="1"/>
  <c r="I18" i="35" s="1"/>
  <c r="I22" i="35" s="1"/>
  <c r="K12" i="31"/>
  <c r="K12" i="27"/>
  <c r="I14" i="37"/>
  <c r="I15" i="37" s="1"/>
  <c r="I18" i="37" s="1"/>
  <c r="I22" i="37" s="1"/>
  <c r="D14" i="10"/>
  <c r="D15" i="10" s="1"/>
  <c r="B14" i="10"/>
  <c r="B15" i="10" s="1"/>
  <c r="G14" i="10"/>
  <c r="G15" i="10" s="1"/>
  <c r="H14" i="10"/>
  <c r="H15" i="10" s="1"/>
  <c r="E14" i="10"/>
  <c r="E15" i="10" s="1"/>
  <c r="C14" i="10"/>
  <c r="C15" i="10" s="1"/>
  <c r="K12" i="36"/>
  <c r="I14" i="17"/>
  <c r="I15" i="17" s="1"/>
  <c r="I18" i="17" s="1"/>
  <c r="I22" i="17" s="1"/>
  <c r="K12" i="6"/>
  <c r="I14" i="25"/>
  <c r="I15" i="25" s="1"/>
  <c r="I18" i="25" s="1"/>
  <c r="I22" i="25" s="1"/>
  <c r="I14" i="20"/>
  <c r="I15" i="20" s="1"/>
  <c r="I18" i="20" s="1"/>
  <c r="I22" i="20" s="1"/>
  <c r="I14" i="21"/>
  <c r="I15" i="21" s="1"/>
  <c r="I18" i="21" s="1"/>
  <c r="I22" i="21" s="1"/>
  <c r="I14" i="18"/>
  <c r="I15" i="18" s="1"/>
  <c r="I18" i="18" s="1"/>
  <c r="I22" i="18" s="1"/>
  <c r="K12" i="18"/>
  <c r="K12" i="30"/>
  <c r="I14" i="30"/>
  <c r="I15" i="30" s="1"/>
  <c r="I18" i="30" s="1"/>
  <c r="I22" i="30" s="1"/>
  <c r="K12" i="28"/>
  <c r="K12" i="40"/>
  <c r="K12" i="46"/>
  <c r="K12" i="15"/>
  <c r="I14" i="15"/>
  <c r="I15" i="15" s="1"/>
  <c r="I18" i="15" s="1"/>
  <c r="I22" i="15" s="1"/>
  <c r="K12" i="37"/>
  <c r="I14" i="11"/>
  <c r="I15" i="11" s="1"/>
  <c r="I18" i="11" s="1"/>
  <c r="I22" i="11" s="1"/>
  <c r="K12" i="13"/>
  <c r="D14" i="14"/>
  <c r="D15" i="14" s="1"/>
  <c r="B14" i="14"/>
  <c r="B15" i="14" s="1"/>
  <c r="E14" i="14"/>
  <c r="E15" i="14" s="1"/>
  <c r="G14" i="14"/>
  <c r="G15" i="14" s="1"/>
  <c r="H14" i="14"/>
  <c r="H15" i="14" s="1"/>
  <c r="C14" i="14"/>
  <c r="C15" i="14" s="1"/>
  <c r="K12" i="29"/>
  <c r="G14" i="34"/>
  <c r="G15" i="34" s="1"/>
  <c r="E14" i="34"/>
  <c r="E15" i="34" s="1"/>
  <c r="C14" i="34"/>
  <c r="C15" i="34" s="1"/>
  <c r="H14" i="34"/>
  <c r="H15" i="34" s="1"/>
  <c r="B14" i="34"/>
  <c r="B15" i="34" s="1"/>
  <c r="D14" i="34"/>
  <c r="D15" i="34" s="1"/>
  <c r="I14" i="9"/>
  <c r="I15" i="9" s="1"/>
  <c r="I18" i="9" s="1"/>
  <c r="I22" i="9" s="1"/>
  <c r="K12" i="14"/>
  <c r="I14" i="28"/>
  <c r="I15" i="28" s="1"/>
  <c r="I18" i="28" s="1"/>
  <c r="I22" i="28" s="1"/>
  <c r="K12" i="4"/>
  <c r="I14" i="24"/>
  <c r="I15" i="24" s="1"/>
  <c r="I18" i="24" s="1"/>
  <c r="I22" i="24" s="1"/>
  <c r="I14" i="23"/>
  <c r="I15" i="23" s="1"/>
  <c r="I18" i="23" s="1"/>
  <c r="I22" i="23" s="1"/>
  <c r="I14" i="22"/>
  <c r="I15" i="22" s="1"/>
  <c r="I18" i="22" s="1"/>
  <c r="I22" i="22" s="1"/>
  <c r="I14" i="41"/>
  <c r="I15" i="41" s="1"/>
  <c r="I18" i="41" s="1"/>
  <c r="I22" i="41" s="1"/>
  <c r="K12" i="1"/>
  <c r="I14" i="1"/>
  <c r="I15" i="1" s="1"/>
  <c r="I18" i="1" s="1"/>
  <c r="I22" i="1" s="1"/>
  <c r="K12" i="35"/>
  <c r="I14" i="31"/>
  <c r="I15" i="31" s="1"/>
  <c r="I18" i="31" s="1"/>
  <c r="I22" i="31" s="1"/>
  <c r="K12" i="8"/>
  <c r="I14" i="8"/>
  <c r="I15" i="8" s="1"/>
  <c r="I18" i="8" s="1"/>
  <c r="I22" i="8" s="1"/>
  <c r="K12" i="11"/>
  <c r="D14" i="45"/>
  <c r="D15" i="45" s="1"/>
  <c r="H14" i="45"/>
  <c r="H15" i="45" s="1"/>
  <c r="G14" i="45"/>
  <c r="G15" i="45" s="1"/>
  <c r="B14" i="45"/>
  <c r="B15" i="45" s="1"/>
  <c r="C14" i="45"/>
  <c r="C15" i="45" s="1"/>
  <c r="E14" i="45"/>
  <c r="E15" i="45" s="1"/>
  <c r="I14" i="36"/>
  <c r="I15" i="36" s="1"/>
  <c r="I18" i="36" s="1"/>
  <c r="I22" i="36" s="1"/>
  <c r="K12" i="17"/>
  <c r="I14" i="6"/>
  <c r="I15" i="6" s="1"/>
  <c r="I18" i="6" s="1"/>
  <c r="I22" i="6" s="1"/>
  <c r="I14" i="29"/>
  <c r="I15" i="29" s="1"/>
  <c r="I18" i="29" s="1"/>
  <c r="I22" i="29" s="1"/>
  <c r="I14" i="40"/>
  <c r="I15" i="40" s="1"/>
  <c r="I18" i="40" s="1"/>
  <c r="I22" i="40" s="1"/>
  <c r="I14" i="46"/>
  <c r="I15" i="46" s="1"/>
  <c r="I18" i="46" s="1"/>
  <c r="I22" i="46" s="1"/>
  <c r="I14" i="13"/>
  <c r="I15" i="13" s="1"/>
  <c r="I18" i="13" s="1"/>
  <c r="I22" i="13" s="1"/>
  <c r="I15" i="12"/>
  <c r="I18" i="12" s="1"/>
  <c r="I22" i="12" s="1"/>
  <c r="I15" i="34"/>
  <c r="I18" i="34" s="1"/>
  <c r="I22" i="34" s="1"/>
  <c r="I15" i="7"/>
  <c r="I18" i="7" s="1"/>
  <c r="I22" i="7" s="1"/>
  <c r="I15" i="10"/>
  <c r="I18" i="10" s="1"/>
  <c r="I22" i="10" s="1"/>
  <c r="I15" i="14"/>
  <c r="I18" i="14" s="1"/>
  <c r="I22" i="14" s="1"/>
  <c r="K12" i="25"/>
  <c r="K12" i="22"/>
  <c r="K12" i="21"/>
  <c r="G22" i="48" l="1"/>
  <c r="D20" i="48"/>
  <c r="D22" i="48" s="1"/>
  <c r="B20" i="48"/>
  <c r="C20" i="48"/>
  <c r="C22" i="48" s="1"/>
  <c r="E20" i="48"/>
  <c r="E22" i="48" s="1"/>
  <c r="K18" i="48"/>
  <c r="D18" i="5"/>
  <c r="K12" i="44"/>
  <c r="K15" i="2"/>
  <c r="B17" i="5"/>
  <c r="B18" i="5" s="1"/>
  <c r="H18" i="5"/>
  <c r="H22" i="5" s="1"/>
  <c r="E17" i="5"/>
  <c r="E18" i="5" s="1"/>
  <c r="C17" i="5"/>
  <c r="C18" i="5" s="1"/>
  <c r="G17" i="5"/>
  <c r="G18" i="5" s="1"/>
  <c r="G20" i="5" s="1"/>
  <c r="B20" i="5" s="1"/>
  <c r="K15" i="5"/>
  <c r="K12" i="39"/>
  <c r="B17" i="2"/>
  <c r="B18" i="2" s="1"/>
  <c r="E17" i="2"/>
  <c r="E18" i="2" s="1"/>
  <c r="D17" i="2"/>
  <c r="D18" i="2" s="1"/>
  <c r="C15" i="38"/>
  <c r="C17" i="2"/>
  <c r="C18" i="2" s="1"/>
  <c r="G17" i="2"/>
  <c r="G18" i="2" s="1"/>
  <c r="G20" i="2" s="1"/>
  <c r="D20" i="2" s="1"/>
  <c r="I15" i="38"/>
  <c r="I18" i="38" s="1"/>
  <c r="I22" i="38" s="1"/>
  <c r="D14" i="38"/>
  <c r="D15" i="38" s="1"/>
  <c r="G14" i="38"/>
  <c r="G15" i="38" s="1"/>
  <c r="B14" i="38"/>
  <c r="B15" i="38" s="1"/>
  <c r="K12" i="38"/>
  <c r="E14" i="38"/>
  <c r="E15" i="38" s="1"/>
  <c r="H14" i="38"/>
  <c r="H15" i="38" s="1"/>
  <c r="H17" i="38" s="1"/>
  <c r="H18" i="38" s="1"/>
  <c r="H22" i="38" s="1"/>
  <c r="H17" i="14"/>
  <c r="H18" i="14" s="1"/>
  <c r="H22" i="14" s="1"/>
  <c r="H17" i="45"/>
  <c r="H18" i="45" s="1"/>
  <c r="H22" i="45" s="1"/>
  <c r="E14" i="13"/>
  <c r="E15" i="13" s="1"/>
  <c r="H14" i="13"/>
  <c r="H15" i="13" s="1"/>
  <c r="B14" i="13"/>
  <c r="B15" i="13" s="1"/>
  <c r="C14" i="13"/>
  <c r="C15" i="13" s="1"/>
  <c r="G14" i="13"/>
  <c r="G15" i="13" s="1"/>
  <c r="D14" i="13"/>
  <c r="D15" i="13" s="1"/>
  <c r="D14" i="46"/>
  <c r="D15" i="46" s="1"/>
  <c r="C14" i="46"/>
  <c r="C15" i="46" s="1"/>
  <c r="H14" i="46"/>
  <c r="H15" i="46" s="1"/>
  <c r="B14" i="46"/>
  <c r="B15" i="46" s="1"/>
  <c r="G14" i="46"/>
  <c r="G15" i="46" s="1"/>
  <c r="E14" i="46"/>
  <c r="E15" i="46" s="1"/>
  <c r="B14" i="40"/>
  <c r="B15" i="40" s="1"/>
  <c r="D14" i="40"/>
  <c r="D15" i="40" s="1"/>
  <c r="G14" i="40"/>
  <c r="G15" i="40" s="1"/>
  <c r="C14" i="40"/>
  <c r="C15" i="40" s="1"/>
  <c r="E14" i="40"/>
  <c r="E15" i="40" s="1"/>
  <c r="H14" i="40"/>
  <c r="H15" i="40" s="1"/>
  <c r="B14" i="29"/>
  <c r="B15" i="29" s="1"/>
  <c r="D14" i="29"/>
  <c r="D15" i="29" s="1"/>
  <c r="H14" i="29"/>
  <c r="H15" i="29" s="1"/>
  <c r="C14" i="29"/>
  <c r="C15" i="29" s="1"/>
  <c r="G14" i="29"/>
  <c r="G15" i="29" s="1"/>
  <c r="E14" i="29"/>
  <c r="E15" i="29" s="1"/>
  <c r="D14" i="6"/>
  <c r="D15" i="6" s="1"/>
  <c r="E14" i="6"/>
  <c r="E15" i="6" s="1"/>
  <c r="G14" i="6"/>
  <c r="G15" i="6" s="1"/>
  <c r="B14" i="6"/>
  <c r="B15" i="6" s="1"/>
  <c r="C14" i="6"/>
  <c r="C15" i="6" s="1"/>
  <c r="H14" i="6"/>
  <c r="H15" i="6" s="1"/>
  <c r="H14" i="8"/>
  <c r="H15" i="8" s="1"/>
  <c r="B14" i="8"/>
  <c r="B15" i="8" s="1"/>
  <c r="C14" i="8"/>
  <c r="C15" i="8" s="1"/>
  <c r="D14" i="8"/>
  <c r="D15" i="8" s="1"/>
  <c r="E14" i="8"/>
  <c r="E15" i="8" s="1"/>
  <c r="G14" i="8"/>
  <c r="G15" i="8" s="1"/>
  <c r="G14" i="41"/>
  <c r="G15" i="41" s="1"/>
  <c r="B14" i="41"/>
  <c r="B15" i="41" s="1"/>
  <c r="D14" i="41"/>
  <c r="D15" i="41" s="1"/>
  <c r="H14" i="41"/>
  <c r="H15" i="41" s="1"/>
  <c r="C14" i="41"/>
  <c r="C15" i="41" s="1"/>
  <c r="E14" i="41"/>
  <c r="E15" i="41" s="1"/>
  <c r="B14" i="24"/>
  <c r="B15" i="24" s="1"/>
  <c r="C14" i="24"/>
  <c r="C15" i="24" s="1"/>
  <c r="D14" i="24"/>
  <c r="D15" i="24" s="1"/>
  <c r="E14" i="24"/>
  <c r="E15" i="24" s="1"/>
  <c r="G14" i="24"/>
  <c r="G15" i="24" s="1"/>
  <c r="H14" i="24"/>
  <c r="H15" i="24" s="1"/>
  <c r="H17" i="34"/>
  <c r="H18" i="34" s="1"/>
  <c r="H22" i="34" s="1"/>
  <c r="E14" i="11"/>
  <c r="E15" i="11" s="1"/>
  <c r="H14" i="11"/>
  <c r="H15" i="11" s="1"/>
  <c r="C14" i="11"/>
  <c r="C15" i="11" s="1"/>
  <c r="D14" i="11"/>
  <c r="D15" i="11" s="1"/>
  <c r="B14" i="11"/>
  <c r="B15" i="11" s="1"/>
  <c r="G14" i="11"/>
  <c r="G15" i="11" s="1"/>
  <c r="C14" i="15"/>
  <c r="C15" i="15" s="1"/>
  <c r="E14" i="15"/>
  <c r="E15" i="15" s="1"/>
  <c r="B14" i="15"/>
  <c r="B15" i="15" s="1"/>
  <c r="H14" i="15"/>
  <c r="H15" i="15" s="1"/>
  <c r="D14" i="15"/>
  <c r="D15" i="15" s="1"/>
  <c r="G14" i="15"/>
  <c r="G15" i="15" s="1"/>
  <c r="B14" i="39"/>
  <c r="B15" i="39" s="1"/>
  <c r="D14" i="39"/>
  <c r="D15" i="39" s="1"/>
  <c r="G14" i="39"/>
  <c r="G15" i="39" s="1"/>
  <c r="C14" i="39"/>
  <c r="C15" i="39" s="1"/>
  <c r="E14" i="39"/>
  <c r="E15" i="39" s="1"/>
  <c r="H14" i="39"/>
  <c r="H15" i="39" s="1"/>
  <c r="G14" i="20"/>
  <c r="G15" i="20" s="1"/>
  <c r="D14" i="20"/>
  <c r="D15" i="20" s="1"/>
  <c r="B14" i="20"/>
  <c r="B15" i="20" s="1"/>
  <c r="E14" i="20"/>
  <c r="E15" i="20" s="1"/>
  <c r="C14" i="20"/>
  <c r="C15" i="20" s="1"/>
  <c r="H14" i="20"/>
  <c r="H15" i="20" s="1"/>
  <c r="E14" i="25"/>
  <c r="E15" i="25" s="1"/>
  <c r="C14" i="25"/>
  <c r="C15" i="25" s="1"/>
  <c r="H14" i="25"/>
  <c r="H15" i="25" s="1"/>
  <c r="D14" i="25"/>
  <c r="D15" i="25" s="1"/>
  <c r="B14" i="25"/>
  <c r="B15" i="25" s="1"/>
  <c r="G14" i="25"/>
  <c r="G15" i="25" s="1"/>
  <c r="E14" i="44"/>
  <c r="E15" i="44" s="1"/>
  <c r="C14" i="44"/>
  <c r="C15" i="44" s="1"/>
  <c r="B14" i="44"/>
  <c r="B15" i="44" s="1"/>
  <c r="G14" i="44"/>
  <c r="G15" i="44" s="1"/>
  <c r="D14" i="44"/>
  <c r="D15" i="44" s="1"/>
  <c r="H14" i="44"/>
  <c r="H15" i="44" s="1"/>
  <c r="D14" i="17"/>
  <c r="D15" i="17" s="1"/>
  <c r="B14" i="17"/>
  <c r="B15" i="17" s="1"/>
  <c r="H14" i="17"/>
  <c r="H15" i="17" s="1"/>
  <c r="E14" i="17"/>
  <c r="E15" i="17" s="1"/>
  <c r="G14" i="17"/>
  <c r="G15" i="17" s="1"/>
  <c r="C14" i="17"/>
  <c r="C15" i="17" s="1"/>
  <c r="D14" i="35"/>
  <c r="D15" i="35" s="1"/>
  <c r="E14" i="35"/>
  <c r="E15" i="35" s="1"/>
  <c r="B14" i="35"/>
  <c r="B15" i="35" s="1"/>
  <c r="H14" i="35"/>
  <c r="H15" i="35" s="1"/>
  <c r="C14" i="35"/>
  <c r="C15" i="35" s="1"/>
  <c r="G14" i="35"/>
  <c r="G15" i="35" s="1"/>
  <c r="D14" i="27"/>
  <c r="D15" i="27" s="1"/>
  <c r="H14" i="27"/>
  <c r="H15" i="27" s="1"/>
  <c r="G14" i="27"/>
  <c r="G15" i="27" s="1"/>
  <c r="B14" i="27"/>
  <c r="B15" i="27" s="1"/>
  <c r="C14" i="27"/>
  <c r="C15" i="27" s="1"/>
  <c r="E14" i="27"/>
  <c r="E15" i="27" s="1"/>
  <c r="G14" i="4"/>
  <c r="G15" i="4" s="1"/>
  <c r="D14" i="4"/>
  <c r="D15" i="4" s="1"/>
  <c r="C14" i="4"/>
  <c r="C15" i="4" s="1"/>
  <c r="E14" i="4"/>
  <c r="E15" i="4" s="1"/>
  <c r="B14" i="4"/>
  <c r="B15" i="4" s="1"/>
  <c r="H14" i="4"/>
  <c r="H15" i="4" s="1"/>
  <c r="G14" i="32"/>
  <c r="G15" i="32" s="1"/>
  <c r="E14" i="32"/>
  <c r="E15" i="32" s="1"/>
  <c r="B14" i="32"/>
  <c r="B15" i="32" s="1"/>
  <c r="H14" i="32"/>
  <c r="H15" i="32" s="1"/>
  <c r="D14" i="32"/>
  <c r="D15" i="32" s="1"/>
  <c r="C14" i="32"/>
  <c r="C15" i="32" s="1"/>
  <c r="H17" i="12"/>
  <c r="H18" i="12" s="1"/>
  <c r="H22" i="12" s="1"/>
  <c r="K15" i="12"/>
  <c r="G14" i="36"/>
  <c r="G15" i="36" s="1"/>
  <c r="B14" i="36"/>
  <c r="B15" i="36" s="1"/>
  <c r="C14" i="36"/>
  <c r="C15" i="36" s="1"/>
  <c r="D14" i="36"/>
  <c r="D15" i="36" s="1"/>
  <c r="E14" i="36"/>
  <c r="E15" i="36" s="1"/>
  <c r="H14" i="36"/>
  <c r="H15" i="36" s="1"/>
  <c r="K15" i="45"/>
  <c r="G14" i="31"/>
  <c r="G15" i="31" s="1"/>
  <c r="E14" i="31"/>
  <c r="E15" i="31" s="1"/>
  <c r="B14" i="31"/>
  <c r="B15" i="31" s="1"/>
  <c r="H14" i="31"/>
  <c r="H15" i="31" s="1"/>
  <c r="C14" i="31"/>
  <c r="C15" i="31" s="1"/>
  <c r="D14" i="31"/>
  <c r="D15" i="31" s="1"/>
  <c r="C14" i="1"/>
  <c r="C15" i="1" s="1"/>
  <c r="E14" i="1"/>
  <c r="E15" i="1" s="1"/>
  <c r="H14" i="1"/>
  <c r="H15" i="1" s="1"/>
  <c r="D14" i="1"/>
  <c r="D15" i="1" s="1"/>
  <c r="G14" i="1"/>
  <c r="G15" i="1" s="1"/>
  <c r="B14" i="1"/>
  <c r="B15" i="1" s="1"/>
  <c r="B14" i="22"/>
  <c r="B15" i="22" s="1"/>
  <c r="H14" i="22"/>
  <c r="H15" i="22" s="1"/>
  <c r="D14" i="22"/>
  <c r="D15" i="22" s="1"/>
  <c r="C14" i="22"/>
  <c r="C15" i="22" s="1"/>
  <c r="G14" i="22"/>
  <c r="G15" i="22" s="1"/>
  <c r="E14" i="22"/>
  <c r="E15" i="22" s="1"/>
  <c r="G14" i="23"/>
  <c r="G15" i="23" s="1"/>
  <c r="D14" i="23"/>
  <c r="D15" i="23" s="1"/>
  <c r="H14" i="23"/>
  <c r="H15" i="23" s="1"/>
  <c r="B14" i="23"/>
  <c r="B15" i="23" s="1"/>
  <c r="E14" i="23"/>
  <c r="E15" i="23" s="1"/>
  <c r="C14" i="23"/>
  <c r="C15" i="23" s="1"/>
  <c r="D14" i="28"/>
  <c r="D15" i="28" s="1"/>
  <c r="C14" i="28"/>
  <c r="C15" i="28" s="1"/>
  <c r="E14" i="28"/>
  <c r="E15" i="28" s="1"/>
  <c r="G14" i="28"/>
  <c r="G15" i="28" s="1"/>
  <c r="B14" i="28"/>
  <c r="B15" i="28" s="1"/>
  <c r="H14" i="28"/>
  <c r="H15" i="28" s="1"/>
  <c r="K15" i="14"/>
  <c r="B14" i="9"/>
  <c r="B15" i="9" s="1"/>
  <c r="C14" i="9"/>
  <c r="C15" i="9" s="1"/>
  <c r="H14" i="9"/>
  <c r="H15" i="9" s="1"/>
  <c r="G14" i="9"/>
  <c r="G15" i="9" s="1"/>
  <c r="E14" i="9"/>
  <c r="E15" i="9" s="1"/>
  <c r="D14" i="9"/>
  <c r="D15" i="9" s="1"/>
  <c r="K15" i="34"/>
  <c r="B14" i="30"/>
  <c r="B15" i="30" s="1"/>
  <c r="H14" i="30"/>
  <c r="H15" i="30" s="1"/>
  <c r="D14" i="30"/>
  <c r="D15" i="30" s="1"/>
  <c r="C14" i="30"/>
  <c r="C15" i="30" s="1"/>
  <c r="E14" i="30"/>
  <c r="E15" i="30" s="1"/>
  <c r="G14" i="30"/>
  <c r="G15" i="30" s="1"/>
  <c r="H14" i="18"/>
  <c r="H15" i="18" s="1"/>
  <c r="C14" i="18"/>
  <c r="C15" i="18" s="1"/>
  <c r="E14" i="18"/>
  <c r="E15" i="18" s="1"/>
  <c r="G14" i="18"/>
  <c r="G15" i="18" s="1"/>
  <c r="B14" i="18"/>
  <c r="B15" i="18" s="1"/>
  <c r="D14" i="18"/>
  <c r="D15" i="18" s="1"/>
  <c r="D14" i="21"/>
  <c r="D15" i="21" s="1"/>
  <c r="C14" i="21"/>
  <c r="C15" i="21" s="1"/>
  <c r="H14" i="21"/>
  <c r="H15" i="21" s="1"/>
  <c r="B14" i="21"/>
  <c r="B15" i="21" s="1"/>
  <c r="E14" i="21"/>
  <c r="E15" i="21" s="1"/>
  <c r="G14" i="21"/>
  <c r="G15" i="21" s="1"/>
  <c r="H17" i="10"/>
  <c r="H18" i="10" s="1"/>
  <c r="H22" i="10" s="1"/>
  <c r="K15" i="10"/>
  <c r="E14" i="37"/>
  <c r="E15" i="37" s="1"/>
  <c r="C14" i="37"/>
  <c r="C15" i="37" s="1"/>
  <c r="H14" i="37"/>
  <c r="H15" i="37" s="1"/>
  <c r="D14" i="37"/>
  <c r="D15" i="37" s="1"/>
  <c r="B14" i="37"/>
  <c r="B15" i="37" s="1"/>
  <c r="G14" i="37"/>
  <c r="G15" i="37" s="1"/>
  <c r="B14" i="19"/>
  <c r="B15" i="19" s="1"/>
  <c r="C14" i="19"/>
  <c r="C15" i="19" s="1"/>
  <c r="G14" i="19"/>
  <c r="G15" i="19" s="1"/>
  <c r="D14" i="19"/>
  <c r="D15" i="19" s="1"/>
  <c r="E14" i="19"/>
  <c r="E15" i="19" s="1"/>
  <c r="H14" i="19"/>
  <c r="H15" i="19" s="1"/>
  <c r="K15" i="7"/>
  <c r="H17" i="7"/>
  <c r="H18" i="7" s="1"/>
  <c r="H22" i="7" s="1"/>
  <c r="B22" i="48" l="1"/>
  <c r="B28" i="48" s="1"/>
  <c r="B30" i="48" s="1"/>
  <c r="K20" i="48"/>
  <c r="K22" i="48" s="1"/>
  <c r="G22" i="5"/>
  <c r="B20" i="2"/>
  <c r="B22" i="2" s="1"/>
  <c r="B28" i="2" s="1"/>
  <c r="D20" i="5"/>
  <c r="D22" i="5" s="1"/>
  <c r="K18" i="5"/>
  <c r="C20" i="5"/>
  <c r="C22" i="5" s="1"/>
  <c r="E20" i="5"/>
  <c r="E22" i="5" s="1"/>
  <c r="D22" i="2"/>
  <c r="K18" i="2"/>
  <c r="G22" i="2"/>
  <c r="C20" i="2"/>
  <c r="C22" i="2" s="1"/>
  <c r="E20" i="2"/>
  <c r="E22" i="2" s="1"/>
  <c r="K15" i="38"/>
  <c r="K15" i="37"/>
  <c r="H17" i="37"/>
  <c r="H18" i="37" s="1"/>
  <c r="H22" i="37" s="1"/>
  <c r="B17" i="7"/>
  <c r="B18" i="7" s="1"/>
  <c r="C17" i="7"/>
  <c r="C18" i="7" s="1"/>
  <c r="D17" i="7"/>
  <c r="D18" i="7" s="1"/>
  <c r="E17" i="7"/>
  <c r="E18" i="7" s="1"/>
  <c r="G17" i="7"/>
  <c r="G18" i="7" s="1"/>
  <c r="G20" i="7" s="1"/>
  <c r="H17" i="19"/>
  <c r="H18" i="19" s="1"/>
  <c r="H22" i="19" s="1"/>
  <c r="K15" i="21"/>
  <c r="H17" i="30"/>
  <c r="H18" i="30" s="1"/>
  <c r="H22" i="30" s="1"/>
  <c r="H17" i="28"/>
  <c r="H18" i="28" s="1"/>
  <c r="H22" i="28" s="1"/>
  <c r="K15" i="23"/>
  <c r="H17" i="22"/>
  <c r="K15" i="1"/>
  <c r="H17" i="31"/>
  <c r="H17" i="36"/>
  <c r="H18" i="36" s="1"/>
  <c r="H22" i="36" s="1"/>
  <c r="K15" i="36"/>
  <c r="B22" i="5"/>
  <c r="B28" i="5" s="1"/>
  <c r="D17" i="12"/>
  <c r="D18" i="12" s="1"/>
  <c r="E17" i="12"/>
  <c r="E18" i="12" s="1"/>
  <c r="B17" i="12"/>
  <c r="B18" i="12" s="1"/>
  <c r="G17" i="12"/>
  <c r="G18" i="12" s="1"/>
  <c r="G20" i="12" s="1"/>
  <c r="C17" i="12"/>
  <c r="C18" i="12" s="1"/>
  <c r="H17" i="32"/>
  <c r="H17" i="4"/>
  <c r="H18" i="4" s="1"/>
  <c r="H22" i="4" s="1"/>
  <c r="K15" i="27"/>
  <c r="H17" i="27"/>
  <c r="H18" i="27" s="1"/>
  <c r="H22" i="27" s="1"/>
  <c r="H17" i="35"/>
  <c r="K15" i="17"/>
  <c r="H17" i="44"/>
  <c r="H17" i="20"/>
  <c r="H17" i="39"/>
  <c r="H17" i="15"/>
  <c r="H18" i="15" s="1"/>
  <c r="H22" i="15" s="1"/>
  <c r="H17" i="11"/>
  <c r="H18" i="11" s="1"/>
  <c r="H22" i="11" s="1"/>
  <c r="K15" i="24"/>
  <c r="H17" i="8"/>
  <c r="H18" i="8" s="1"/>
  <c r="H22" i="8" s="1"/>
  <c r="H17" i="29"/>
  <c r="K15" i="29"/>
  <c r="K15" i="40"/>
  <c r="H17" i="46"/>
  <c r="H18" i="46" s="1"/>
  <c r="H22" i="46" s="1"/>
  <c r="K15" i="13"/>
  <c r="C17" i="14"/>
  <c r="C18" i="14" s="1"/>
  <c r="B17" i="14"/>
  <c r="B18" i="14" s="1"/>
  <c r="G17" i="14"/>
  <c r="G18" i="14" s="1"/>
  <c r="G20" i="14" s="1"/>
  <c r="D17" i="14"/>
  <c r="D18" i="14" s="1"/>
  <c r="E17" i="14"/>
  <c r="E18" i="14" s="1"/>
  <c r="K15" i="19"/>
  <c r="B17" i="10"/>
  <c r="B18" i="10" s="1"/>
  <c r="D17" i="10"/>
  <c r="D18" i="10" s="1"/>
  <c r="C17" i="10"/>
  <c r="C18" i="10" s="1"/>
  <c r="E17" i="10"/>
  <c r="E18" i="10" s="1"/>
  <c r="G17" i="10"/>
  <c r="G18" i="10" s="1"/>
  <c r="G20" i="10" s="1"/>
  <c r="H17" i="21"/>
  <c r="H18" i="21" s="1"/>
  <c r="H22" i="21" s="1"/>
  <c r="K15" i="18"/>
  <c r="H17" i="18"/>
  <c r="K15" i="30"/>
  <c r="H17" i="9"/>
  <c r="K15" i="9"/>
  <c r="K15" i="28"/>
  <c r="H17" i="23"/>
  <c r="H18" i="23" s="1"/>
  <c r="H22" i="23" s="1"/>
  <c r="K15" i="22"/>
  <c r="H17" i="1"/>
  <c r="H18" i="1" s="1"/>
  <c r="H22" i="1" s="1"/>
  <c r="K15" i="31"/>
  <c r="K15" i="32"/>
  <c r="K15" i="4"/>
  <c r="D17" i="38"/>
  <c r="D18" i="38" s="1"/>
  <c r="B17" i="38"/>
  <c r="B18" i="38" s="1"/>
  <c r="C17" i="38"/>
  <c r="C18" i="38" s="1"/>
  <c r="E17" i="38"/>
  <c r="E18" i="38" s="1"/>
  <c r="G17" i="38"/>
  <c r="G18" i="38" s="1"/>
  <c r="G20" i="38" s="1"/>
  <c r="K15" i="35"/>
  <c r="H17" i="17"/>
  <c r="H18" i="17" s="1"/>
  <c r="H22" i="17" s="1"/>
  <c r="K15" i="44"/>
  <c r="K15" i="25"/>
  <c r="H17" i="25"/>
  <c r="H18" i="25" s="1"/>
  <c r="H22" i="25" s="1"/>
  <c r="K15" i="20"/>
  <c r="K15" i="39"/>
  <c r="K15" i="15"/>
  <c r="K15" i="11"/>
  <c r="D17" i="34"/>
  <c r="D18" i="34" s="1"/>
  <c r="E17" i="34"/>
  <c r="E18" i="34" s="1"/>
  <c r="B17" i="34"/>
  <c r="B18" i="34" s="1"/>
  <c r="G17" i="34"/>
  <c r="G18" i="34" s="1"/>
  <c r="G20" i="34" s="1"/>
  <c r="C17" i="34"/>
  <c r="C18" i="34" s="1"/>
  <c r="H17" i="24"/>
  <c r="H18" i="24" s="1"/>
  <c r="H22" i="24" s="1"/>
  <c r="H17" i="41"/>
  <c r="K15" i="41"/>
  <c r="K15" i="8"/>
  <c r="H17" i="6"/>
  <c r="H18" i="6" s="1"/>
  <c r="H22" i="6" s="1"/>
  <c r="K15" i="6"/>
  <c r="H17" i="40"/>
  <c r="H18" i="40" s="1"/>
  <c r="H22" i="40" s="1"/>
  <c r="K15" i="46"/>
  <c r="H17" i="13"/>
  <c r="C17" i="45"/>
  <c r="C18" i="45" s="1"/>
  <c r="G17" i="45"/>
  <c r="G18" i="45" s="1"/>
  <c r="G20" i="45" s="1"/>
  <c r="B17" i="45"/>
  <c r="B18" i="45" s="1"/>
  <c r="E17" i="45"/>
  <c r="E18" i="45" s="1"/>
  <c r="D17" i="45"/>
  <c r="D18" i="45" s="1"/>
  <c r="K20" i="5" l="1"/>
  <c r="K22" i="5" s="1"/>
  <c r="K20" i="2"/>
  <c r="K22" i="2" s="1"/>
  <c r="C20" i="45"/>
  <c r="C22" i="45" s="1"/>
  <c r="D20" i="45"/>
  <c r="D22" i="45" s="1"/>
  <c r="E20" i="45"/>
  <c r="E22" i="45" s="1"/>
  <c r="B20" i="45"/>
  <c r="G22" i="45"/>
  <c r="C17" i="41"/>
  <c r="C18" i="41" s="1"/>
  <c r="D17" i="41"/>
  <c r="D18" i="41" s="1"/>
  <c r="E17" i="41"/>
  <c r="E18" i="41" s="1"/>
  <c r="B17" i="41"/>
  <c r="B18" i="41" s="1"/>
  <c r="G17" i="41"/>
  <c r="G18" i="41" s="1"/>
  <c r="G20" i="41" s="1"/>
  <c r="B17" i="9"/>
  <c r="B18" i="9" s="1"/>
  <c r="C17" i="9"/>
  <c r="C18" i="9" s="1"/>
  <c r="E17" i="9"/>
  <c r="E18" i="9" s="1"/>
  <c r="D17" i="9"/>
  <c r="D18" i="9" s="1"/>
  <c r="G17" i="9"/>
  <c r="G18" i="9" s="1"/>
  <c r="G20" i="9" s="1"/>
  <c r="C17" i="18"/>
  <c r="C18" i="18" s="1"/>
  <c r="E17" i="18"/>
  <c r="E18" i="18" s="1"/>
  <c r="B17" i="18"/>
  <c r="B18" i="18" s="1"/>
  <c r="D17" i="18"/>
  <c r="D18" i="18" s="1"/>
  <c r="G17" i="18"/>
  <c r="G18" i="18" s="1"/>
  <c r="G20" i="18" s="1"/>
  <c r="C20" i="10"/>
  <c r="C22" i="10" s="1"/>
  <c r="E20" i="10"/>
  <c r="E22" i="10" s="1"/>
  <c r="G22" i="10"/>
  <c r="D20" i="10"/>
  <c r="D22" i="10" s="1"/>
  <c r="B20" i="10"/>
  <c r="E20" i="14"/>
  <c r="E22" i="14" s="1"/>
  <c r="G22" i="14"/>
  <c r="C20" i="14"/>
  <c r="C22" i="14" s="1"/>
  <c r="B20" i="14"/>
  <c r="D20" i="14"/>
  <c r="D22" i="14" s="1"/>
  <c r="D17" i="29"/>
  <c r="D18" i="29" s="1"/>
  <c r="C17" i="29"/>
  <c r="C18" i="29" s="1"/>
  <c r="G17" i="29"/>
  <c r="G18" i="29" s="1"/>
  <c r="G20" i="29" s="1"/>
  <c r="E17" i="29"/>
  <c r="E18" i="29" s="1"/>
  <c r="B17" i="29"/>
  <c r="B18" i="29" s="1"/>
  <c r="B30" i="2"/>
  <c r="C46" i="47" s="1"/>
  <c r="B46" i="47"/>
  <c r="C17" i="39"/>
  <c r="C18" i="39" s="1"/>
  <c r="E17" i="39"/>
  <c r="E18" i="39" s="1"/>
  <c r="G17" i="39"/>
  <c r="G18" i="39" s="1"/>
  <c r="G20" i="39" s="1"/>
  <c r="D17" i="39"/>
  <c r="D18" i="39" s="1"/>
  <c r="B17" i="39"/>
  <c r="B18" i="39" s="1"/>
  <c r="B17" i="20"/>
  <c r="B18" i="20" s="1"/>
  <c r="D17" i="20"/>
  <c r="D18" i="20" s="1"/>
  <c r="E17" i="20"/>
  <c r="E18" i="20" s="1"/>
  <c r="C17" i="20"/>
  <c r="C18" i="20" s="1"/>
  <c r="G17" i="20"/>
  <c r="G18" i="20" s="1"/>
  <c r="G20" i="20" s="1"/>
  <c r="E17" i="44"/>
  <c r="E18" i="44" s="1"/>
  <c r="C17" i="44"/>
  <c r="C18" i="44" s="1"/>
  <c r="G17" i="44"/>
  <c r="G18" i="44" s="1"/>
  <c r="G20" i="44" s="1"/>
  <c r="B17" i="44"/>
  <c r="B18" i="44" s="1"/>
  <c r="D17" i="44"/>
  <c r="D18" i="44" s="1"/>
  <c r="C17" i="35"/>
  <c r="C18" i="35" s="1"/>
  <c r="D17" i="35"/>
  <c r="D18" i="35" s="1"/>
  <c r="B17" i="35"/>
  <c r="B18" i="35" s="1"/>
  <c r="G17" i="35"/>
  <c r="G18" i="35" s="1"/>
  <c r="G20" i="35" s="1"/>
  <c r="E17" i="35"/>
  <c r="E18" i="35" s="1"/>
  <c r="B17" i="32"/>
  <c r="B18" i="32" s="1"/>
  <c r="E17" i="32"/>
  <c r="E18" i="32" s="1"/>
  <c r="G17" i="32"/>
  <c r="G18" i="32" s="1"/>
  <c r="G20" i="32" s="1"/>
  <c r="D17" i="32"/>
  <c r="D18" i="32" s="1"/>
  <c r="C17" i="32"/>
  <c r="C18" i="32" s="1"/>
  <c r="D20" i="12"/>
  <c r="D22" i="12" s="1"/>
  <c r="B20" i="12"/>
  <c r="C20" i="12"/>
  <c r="C22" i="12" s="1"/>
  <c r="E20" i="12"/>
  <c r="E22" i="12" s="1"/>
  <c r="G22" i="12"/>
  <c r="B30" i="5"/>
  <c r="C45" i="47" s="1"/>
  <c r="B45" i="47"/>
  <c r="G17" i="31"/>
  <c r="G18" i="31" s="1"/>
  <c r="G20" i="31" s="1"/>
  <c r="C17" i="31"/>
  <c r="C18" i="31" s="1"/>
  <c r="D17" i="31"/>
  <c r="D18" i="31" s="1"/>
  <c r="E17" i="31"/>
  <c r="E18" i="31" s="1"/>
  <c r="B17" i="31"/>
  <c r="B18" i="31" s="1"/>
  <c r="D17" i="22"/>
  <c r="D18" i="22" s="1"/>
  <c r="C17" i="22"/>
  <c r="C18" i="22" s="1"/>
  <c r="G17" i="22"/>
  <c r="G18" i="22" s="1"/>
  <c r="G20" i="22" s="1"/>
  <c r="B17" i="22"/>
  <c r="B18" i="22" s="1"/>
  <c r="E17" i="22"/>
  <c r="E18" i="22" s="1"/>
  <c r="D20" i="7"/>
  <c r="D22" i="7" s="1"/>
  <c r="C20" i="7"/>
  <c r="C22" i="7" s="1"/>
  <c r="E20" i="7"/>
  <c r="E22" i="7" s="1"/>
  <c r="G22" i="7"/>
  <c r="B20" i="7"/>
  <c r="K18" i="34"/>
  <c r="K18" i="38"/>
  <c r="K18" i="10"/>
  <c r="K18" i="7"/>
  <c r="D17" i="13"/>
  <c r="D18" i="13" s="1"/>
  <c r="G17" i="13"/>
  <c r="G18" i="13" s="1"/>
  <c r="G20" i="13" s="1"/>
  <c r="B17" i="13"/>
  <c r="B18" i="13" s="1"/>
  <c r="C17" i="13"/>
  <c r="C18" i="13" s="1"/>
  <c r="E17" i="13"/>
  <c r="E18" i="13" s="1"/>
  <c r="D17" i="40"/>
  <c r="D18" i="40" s="1"/>
  <c r="B17" i="40"/>
  <c r="B18" i="40" s="1"/>
  <c r="C17" i="40"/>
  <c r="C18" i="40" s="1"/>
  <c r="E17" i="40"/>
  <c r="E18" i="40" s="1"/>
  <c r="G17" i="40"/>
  <c r="G18" i="40" s="1"/>
  <c r="G20" i="40" s="1"/>
  <c r="B17" i="6"/>
  <c r="B18" i="6" s="1"/>
  <c r="E17" i="6"/>
  <c r="E18" i="6" s="1"/>
  <c r="G17" i="6"/>
  <c r="G18" i="6" s="1"/>
  <c r="G20" i="6" s="1"/>
  <c r="D17" i="6"/>
  <c r="D18" i="6" s="1"/>
  <c r="C17" i="6"/>
  <c r="C18" i="6" s="1"/>
  <c r="B17" i="24"/>
  <c r="B18" i="24" s="1"/>
  <c r="E17" i="24"/>
  <c r="E18" i="24" s="1"/>
  <c r="G17" i="24"/>
  <c r="G18" i="24" s="1"/>
  <c r="G20" i="24" s="1"/>
  <c r="C17" i="24"/>
  <c r="C18" i="24" s="1"/>
  <c r="D17" i="24"/>
  <c r="D18" i="24" s="1"/>
  <c r="C20" i="34"/>
  <c r="C22" i="34" s="1"/>
  <c r="D20" i="34"/>
  <c r="D22" i="34" s="1"/>
  <c r="E20" i="34"/>
  <c r="E22" i="34" s="1"/>
  <c r="B20" i="34"/>
  <c r="G22" i="34"/>
  <c r="D17" i="25"/>
  <c r="D18" i="25" s="1"/>
  <c r="B17" i="25"/>
  <c r="B18" i="25" s="1"/>
  <c r="E17" i="25"/>
  <c r="E18" i="25" s="1"/>
  <c r="C17" i="25"/>
  <c r="C18" i="25" s="1"/>
  <c r="G17" i="25"/>
  <c r="G18" i="25" s="1"/>
  <c r="G20" i="25" s="1"/>
  <c r="B17" i="17"/>
  <c r="B18" i="17" s="1"/>
  <c r="D17" i="17"/>
  <c r="D18" i="17" s="1"/>
  <c r="G17" i="17"/>
  <c r="G18" i="17" s="1"/>
  <c r="G20" i="17" s="1"/>
  <c r="C17" i="17"/>
  <c r="C18" i="17" s="1"/>
  <c r="E17" i="17"/>
  <c r="E18" i="17" s="1"/>
  <c r="E20" i="38"/>
  <c r="E22" i="38" s="1"/>
  <c r="C20" i="38"/>
  <c r="C22" i="38" s="1"/>
  <c r="D20" i="38"/>
  <c r="D22" i="38" s="1"/>
  <c r="G22" i="38"/>
  <c r="B20" i="38"/>
  <c r="C17" i="1"/>
  <c r="C18" i="1" s="1"/>
  <c r="E17" i="1"/>
  <c r="E18" i="1" s="1"/>
  <c r="B17" i="1"/>
  <c r="B18" i="1" s="1"/>
  <c r="D17" i="1"/>
  <c r="D18" i="1" s="1"/>
  <c r="G17" i="1"/>
  <c r="G18" i="1" s="1"/>
  <c r="G20" i="1" s="1"/>
  <c r="E17" i="23"/>
  <c r="E18" i="23" s="1"/>
  <c r="D17" i="23"/>
  <c r="D18" i="23" s="1"/>
  <c r="B17" i="23"/>
  <c r="B18" i="23" s="1"/>
  <c r="C17" i="23"/>
  <c r="C18" i="23" s="1"/>
  <c r="G17" i="23"/>
  <c r="G18" i="23" s="1"/>
  <c r="G20" i="23" s="1"/>
  <c r="G17" i="21"/>
  <c r="G18" i="21" s="1"/>
  <c r="G20" i="21" s="1"/>
  <c r="C17" i="21"/>
  <c r="C18" i="21" s="1"/>
  <c r="E17" i="21"/>
  <c r="E18" i="21" s="1"/>
  <c r="D17" i="21"/>
  <c r="D18" i="21" s="1"/>
  <c r="B17" i="21"/>
  <c r="B18" i="21" s="1"/>
  <c r="C17" i="46"/>
  <c r="C18" i="46" s="1"/>
  <c r="B17" i="46"/>
  <c r="B18" i="46" s="1"/>
  <c r="G17" i="46"/>
  <c r="G18" i="46" s="1"/>
  <c r="G20" i="46" s="1"/>
  <c r="E17" i="46"/>
  <c r="E18" i="46" s="1"/>
  <c r="D17" i="46"/>
  <c r="D18" i="46" s="1"/>
  <c r="D17" i="8"/>
  <c r="D18" i="8" s="1"/>
  <c r="C17" i="8"/>
  <c r="C18" i="8" s="1"/>
  <c r="B17" i="8"/>
  <c r="B18" i="8" s="1"/>
  <c r="E17" i="8"/>
  <c r="E18" i="8" s="1"/>
  <c r="G17" i="8"/>
  <c r="G18" i="8" s="1"/>
  <c r="G20" i="8" s="1"/>
  <c r="D17" i="11"/>
  <c r="D18" i="11" s="1"/>
  <c r="E17" i="11"/>
  <c r="E18" i="11" s="1"/>
  <c r="B17" i="11"/>
  <c r="B18" i="11" s="1"/>
  <c r="C17" i="11"/>
  <c r="C18" i="11" s="1"/>
  <c r="G17" i="11"/>
  <c r="G18" i="11" s="1"/>
  <c r="G20" i="11" s="1"/>
  <c r="C17" i="15"/>
  <c r="C18" i="15" s="1"/>
  <c r="B17" i="15"/>
  <c r="B18" i="15" s="1"/>
  <c r="D17" i="15"/>
  <c r="D18" i="15" s="1"/>
  <c r="G17" i="15"/>
  <c r="G18" i="15" s="1"/>
  <c r="G20" i="15" s="1"/>
  <c r="E17" i="15"/>
  <c r="E18" i="15" s="1"/>
  <c r="D17" i="27"/>
  <c r="D18" i="27" s="1"/>
  <c r="C17" i="27"/>
  <c r="C18" i="27" s="1"/>
  <c r="G17" i="27"/>
  <c r="G18" i="27" s="1"/>
  <c r="G20" i="27" s="1"/>
  <c r="E17" i="27"/>
  <c r="E18" i="27" s="1"/>
  <c r="B17" i="27"/>
  <c r="B18" i="27" s="1"/>
  <c r="G17" i="4"/>
  <c r="G18" i="4" s="1"/>
  <c r="G20" i="4" s="1"/>
  <c r="C17" i="4"/>
  <c r="C18" i="4" s="1"/>
  <c r="E17" i="4"/>
  <c r="E18" i="4" s="1"/>
  <c r="B17" i="4"/>
  <c r="B18" i="4" s="1"/>
  <c r="D17" i="4"/>
  <c r="D18" i="4" s="1"/>
  <c r="C17" i="36"/>
  <c r="C18" i="36" s="1"/>
  <c r="E17" i="36"/>
  <c r="E18" i="36" s="1"/>
  <c r="D17" i="36"/>
  <c r="D18" i="36" s="1"/>
  <c r="B17" i="36"/>
  <c r="B18" i="36" s="1"/>
  <c r="G17" i="36"/>
  <c r="G18" i="36" s="1"/>
  <c r="G20" i="36" s="1"/>
  <c r="E17" i="28"/>
  <c r="E18" i="28" s="1"/>
  <c r="G17" i="28"/>
  <c r="G18" i="28" s="1"/>
  <c r="G20" i="28" s="1"/>
  <c r="C17" i="28"/>
  <c r="C18" i="28" s="1"/>
  <c r="B17" i="28"/>
  <c r="B18" i="28" s="1"/>
  <c r="D17" i="28"/>
  <c r="D18" i="28" s="1"/>
  <c r="G17" i="30"/>
  <c r="G18" i="30" s="1"/>
  <c r="G20" i="30" s="1"/>
  <c r="C17" i="30"/>
  <c r="C18" i="30" s="1"/>
  <c r="B17" i="30"/>
  <c r="B18" i="30" s="1"/>
  <c r="D17" i="30"/>
  <c r="D18" i="30" s="1"/>
  <c r="E17" i="30"/>
  <c r="E18" i="30" s="1"/>
  <c r="C17" i="19"/>
  <c r="C18" i="19" s="1"/>
  <c r="E17" i="19"/>
  <c r="E18" i="19" s="1"/>
  <c r="B17" i="19"/>
  <c r="B18" i="19" s="1"/>
  <c r="D17" i="19"/>
  <c r="D18" i="19" s="1"/>
  <c r="G17" i="19"/>
  <c r="G18" i="19" s="1"/>
  <c r="G20" i="19" s="1"/>
  <c r="G17" i="37"/>
  <c r="G18" i="37" s="1"/>
  <c r="G20" i="37" s="1"/>
  <c r="E17" i="37"/>
  <c r="E18" i="37" s="1"/>
  <c r="B17" i="37"/>
  <c r="B18" i="37" s="1"/>
  <c r="D17" i="37"/>
  <c r="D18" i="37" s="1"/>
  <c r="C17" i="37"/>
  <c r="C18" i="37" s="1"/>
  <c r="K18" i="45"/>
  <c r="H18" i="13"/>
  <c r="H22" i="13" s="1"/>
  <c r="H18" i="41"/>
  <c r="H22" i="41" s="1"/>
  <c r="H18" i="9"/>
  <c r="H22" i="9" s="1"/>
  <c r="H18" i="18"/>
  <c r="H22" i="18" s="1"/>
  <c r="K18" i="14"/>
  <c r="H18" i="29"/>
  <c r="H22" i="29" s="1"/>
  <c r="H18" i="39"/>
  <c r="H22" i="39" s="1"/>
  <c r="H18" i="20"/>
  <c r="H22" i="20" s="1"/>
  <c r="H18" i="44"/>
  <c r="H22" i="44" s="1"/>
  <c r="H18" i="35"/>
  <c r="H22" i="35" s="1"/>
  <c r="H18" i="32"/>
  <c r="H22" i="32" s="1"/>
  <c r="K18" i="12"/>
  <c r="H18" i="31"/>
  <c r="H22" i="31" s="1"/>
  <c r="H18" i="22"/>
  <c r="H22" i="22" s="1"/>
  <c r="K18" i="27" l="1"/>
  <c r="K18" i="28"/>
  <c r="K18" i="4"/>
  <c r="G22" i="37"/>
  <c r="D20" i="37"/>
  <c r="D22" i="37" s="1"/>
  <c r="B20" i="37"/>
  <c r="C20" i="37"/>
  <c r="C22" i="37" s="1"/>
  <c r="E20" i="37"/>
  <c r="E22" i="37" s="1"/>
  <c r="G22" i="36"/>
  <c r="C20" i="36"/>
  <c r="C22" i="36" s="1"/>
  <c r="E20" i="36"/>
  <c r="E22" i="36" s="1"/>
  <c r="B20" i="36"/>
  <c r="D20" i="36"/>
  <c r="D22" i="36" s="1"/>
  <c r="G22" i="19"/>
  <c r="B20" i="19"/>
  <c r="C20" i="19"/>
  <c r="C22" i="19" s="1"/>
  <c r="D20" i="19"/>
  <c r="D22" i="19" s="1"/>
  <c r="E20" i="19"/>
  <c r="E22" i="19" s="1"/>
  <c r="G22" i="4"/>
  <c r="E20" i="4"/>
  <c r="E22" i="4" s="1"/>
  <c r="B20" i="4"/>
  <c r="C20" i="4"/>
  <c r="C22" i="4" s="1"/>
  <c r="D20" i="4"/>
  <c r="D22" i="4" s="1"/>
  <c r="G22" i="8"/>
  <c r="D20" i="8"/>
  <c r="D22" i="8" s="1"/>
  <c r="C20" i="8"/>
  <c r="C22" i="8" s="1"/>
  <c r="B20" i="8"/>
  <c r="E20" i="8"/>
  <c r="E22" i="8" s="1"/>
  <c r="G22" i="21"/>
  <c r="E20" i="21"/>
  <c r="E22" i="21" s="1"/>
  <c r="D20" i="21"/>
  <c r="D22" i="21" s="1"/>
  <c r="C20" i="21"/>
  <c r="C22" i="21" s="1"/>
  <c r="B20" i="21"/>
  <c r="G22" i="1"/>
  <c r="C20" i="1"/>
  <c r="C22" i="1" s="1"/>
  <c r="D20" i="1"/>
  <c r="D22" i="1" s="1"/>
  <c r="B20" i="1"/>
  <c r="E20" i="1"/>
  <c r="E22" i="1" s="1"/>
  <c r="G22" i="17"/>
  <c r="C20" i="17"/>
  <c r="C22" i="17" s="1"/>
  <c r="B20" i="17"/>
  <c r="D20" i="17"/>
  <c r="D22" i="17" s="1"/>
  <c r="E20" i="17"/>
  <c r="E22" i="17" s="1"/>
  <c r="G22" i="6"/>
  <c r="B20" i="6"/>
  <c r="E20" i="6"/>
  <c r="E22" i="6" s="1"/>
  <c r="D20" i="6"/>
  <c r="D22" i="6" s="1"/>
  <c r="C20" i="6"/>
  <c r="C22" i="6" s="1"/>
  <c r="G22" i="22"/>
  <c r="B20" i="22"/>
  <c r="C20" i="22"/>
  <c r="C22" i="22" s="1"/>
  <c r="E20" i="22"/>
  <c r="E22" i="22" s="1"/>
  <c r="D20" i="22"/>
  <c r="D22" i="22" s="1"/>
  <c r="G22" i="20"/>
  <c r="D20" i="20"/>
  <c r="D22" i="20" s="1"/>
  <c r="E20" i="20"/>
  <c r="E22" i="20" s="1"/>
  <c r="B20" i="20"/>
  <c r="C20" i="20"/>
  <c r="C22" i="20" s="1"/>
  <c r="G22" i="29"/>
  <c r="E20" i="29"/>
  <c r="E22" i="29" s="1"/>
  <c r="C20" i="29"/>
  <c r="C22" i="29" s="1"/>
  <c r="B20" i="29"/>
  <c r="D20" i="29"/>
  <c r="D22" i="29" s="1"/>
  <c r="K20" i="14"/>
  <c r="K22" i="14" s="1"/>
  <c r="B22" i="14"/>
  <c r="B28" i="14" s="1"/>
  <c r="B22" i="10"/>
  <c r="B28" i="10" s="1"/>
  <c r="K20" i="10"/>
  <c r="K22" i="10" s="1"/>
  <c r="G22" i="9"/>
  <c r="C20" i="9"/>
  <c r="C22" i="9" s="1"/>
  <c r="B20" i="9"/>
  <c r="E20" i="9"/>
  <c r="E22" i="9" s="1"/>
  <c r="D20" i="9"/>
  <c r="D22" i="9" s="1"/>
  <c r="K18" i="30"/>
  <c r="K18" i="19"/>
  <c r="K18" i="36"/>
  <c r="K18" i="8"/>
  <c r="K18" i="46"/>
  <c r="K18" i="21"/>
  <c r="K18" i="1"/>
  <c r="K18" i="17"/>
  <c r="K18" i="25"/>
  <c r="K18" i="6"/>
  <c r="K18" i="40"/>
  <c r="K18" i="13"/>
  <c r="K18" i="35"/>
  <c r="K18" i="44"/>
  <c r="K18" i="20"/>
  <c r="K18" i="29"/>
  <c r="K18" i="9"/>
  <c r="K18" i="41"/>
  <c r="G22" i="30"/>
  <c r="D20" i="30"/>
  <c r="D22" i="30" s="1"/>
  <c r="E20" i="30"/>
  <c r="E22" i="30" s="1"/>
  <c r="C20" i="30"/>
  <c r="C22" i="30" s="1"/>
  <c r="B20" i="30"/>
  <c r="G22" i="28"/>
  <c r="D20" i="28"/>
  <c r="D22" i="28" s="1"/>
  <c r="E20" i="28"/>
  <c r="E22" i="28" s="1"/>
  <c r="B20" i="28"/>
  <c r="C20" i="28"/>
  <c r="C22" i="28" s="1"/>
  <c r="G22" i="27"/>
  <c r="C20" i="27"/>
  <c r="C22" i="27" s="1"/>
  <c r="B20" i="27"/>
  <c r="D20" i="27"/>
  <c r="D22" i="27" s="1"/>
  <c r="E20" i="27"/>
  <c r="E22" i="27" s="1"/>
  <c r="G22" i="15"/>
  <c r="C20" i="15"/>
  <c r="C22" i="15" s="1"/>
  <c r="D20" i="15"/>
  <c r="D22" i="15" s="1"/>
  <c r="E20" i="15"/>
  <c r="E22" i="15" s="1"/>
  <c r="B20" i="15"/>
  <c r="G22" i="11"/>
  <c r="D20" i="11"/>
  <c r="D22" i="11" s="1"/>
  <c r="E20" i="11"/>
  <c r="E22" i="11" s="1"/>
  <c r="C20" i="11"/>
  <c r="C22" i="11" s="1"/>
  <c r="B20" i="11"/>
  <c r="G22" i="46"/>
  <c r="E20" i="46"/>
  <c r="E22" i="46" s="1"/>
  <c r="B20" i="46"/>
  <c r="D20" i="46"/>
  <c r="D22" i="46" s="1"/>
  <c r="C20" i="46"/>
  <c r="C22" i="46" s="1"/>
  <c r="G22" i="23"/>
  <c r="B20" i="23"/>
  <c r="C20" i="23"/>
  <c r="C22" i="23" s="1"/>
  <c r="D20" i="23"/>
  <c r="D22" i="23" s="1"/>
  <c r="E20" i="23"/>
  <c r="E22" i="23" s="1"/>
  <c r="K20" i="38"/>
  <c r="K22" i="38" s="1"/>
  <c r="B22" i="38"/>
  <c r="B28" i="38" s="1"/>
  <c r="B30" i="38" s="1"/>
  <c r="G22" i="25"/>
  <c r="D20" i="25"/>
  <c r="D22" i="25" s="1"/>
  <c r="B20" i="25"/>
  <c r="C20" i="25"/>
  <c r="C22" i="25" s="1"/>
  <c r="E20" i="25"/>
  <c r="E22" i="25" s="1"/>
  <c r="K20" i="34"/>
  <c r="K22" i="34" s="1"/>
  <c r="B22" i="34"/>
  <c r="B28" i="34" s="1"/>
  <c r="G22" i="24"/>
  <c r="B20" i="24"/>
  <c r="E20" i="24"/>
  <c r="E22" i="24" s="1"/>
  <c r="D20" i="24"/>
  <c r="D22" i="24" s="1"/>
  <c r="C20" i="24"/>
  <c r="C22" i="24" s="1"/>
  <c r="G22" i="40"/>
  <c r="C20" i="40"/>
  <c r="C22" i="40" s="1"/>
  <c r="E20" i="40"/>
  <c r="E22" i="40" s="1"/>
  <c r="B20" i="40"/>
  <c r="D20" i="40"/>
  <c r="D22" i="40" s="1"/>
  <c r="G22" i="13"/>
  <c r="D20" i="13"/>
  <c r="D22" i="13" s="1"/>
  <c r="C20" i="13"/>
  <c r="C22" i="13" s="1"/>
  <c r="E20" i="13"/>
  <c r="E22" i="13" s="1"/>
  <c r="B20" i="13"/>
  <c r="K20" i="7"/>
  <c r="K22" i="7" s="1"/>
  <c r="B22" i="7"/>
  <c r="B28" i="7" s="1"/>
  <c r="G22" i="31"/>
  <c r="D20" i="31"/>
  <c r="D22" i="31" s="1"/>
  <c r="E20" i="31"/>
  <c r="E22" i="31" s="1"/>
  <c r="C20" i="31"/>
  <c r="C22" i="31" s="1"/>
  <c r="B20" i="31"/>
  <c r="K20" i="12"/>
  <c r="K22" i="12" s="1"/>
  <c r="B22" i="12"/>
  <c r="B28" i="12" s="1"/>
  <c r="G22" i="32"/>
  <c r="B20" i="32"/>
  <c r="E20" i="32"/>
  <c r="E22" i="32" s="1"/>
  <c r="D20" i="32"/>
  <c r="D22" i="32" s="1"/>
  <c r="C20" i="32"/>
  <c r="C22" i="32" s="1"/>
  <c r="G22" i="35"/>
  <c r="B20" i="35"/>
  <c r="E20" i="35"/>
  <c r="E22" i="35" s="1"/>
  <c r="C20" i="35"/>
  <c r="C22" i="35" s="1"/>
  <c r="D20" i="35"/>
  <c r="D22" i="35" s="1"/>
  <c r="G22" i="44"/>
  <c r="E20" i="44"/>
  <c r="E22" i="44" s="1"/>
  <c r="B20" i="44"/>
  <c r="D20" i="44"/>
  <c r="D22" i="44" s="1"/>
  <c r="C20" i="44"/>
  <c r="C22" i="44" s="1"/>
  <c r="G22" i="39"/>
  <c r="C20" i="39"/>
  <c r="C22" i="39" s="1"/>
  <c r="E20" i="39"/>
  <c r="E22" i="39" s="1"/>
  <c r="B20" i="39"/>
  <c r="D20" i="39"/>
  <c r="D22" i="39" s="1"/>
  <c r="G22" i="18"/>
  <c r="C20" i="18"/>
  <c r="C22" i="18" s="1"/>
  <c r="D20" i="18"/>
  <c r="D22" i="18" s="1"/>
  <c r="E20" i="18"/>
  <c r="E22" i="18" s="1"/>
  <c r="B20" i="18"/>
  <c r="G22" i="41"/>
  <c r="D20" i="41"/>
  <c r="D22" i="41" s="1"/>
  <c r="B20" i="41"/>
  <c r="E20" i="41"/>
  <c r="E22" i="41" s="1"/>
  <c r="C20" i="41"/>
  <c r="C22" i="41" s="1"/>
  <c r="K20" i="45"/>
  <c r="K22" i="45" s="1"/>
  <c r="B22" i="45"/>
  <c r="B28" i="45" s="1"/>
  <c r="K18" i="37"/>
  <c r="K18" i="15"/>
  <c r="K18" i="11"/>
  <c r="K18" i="23"/>
  <c r="K18" i="24"/>
  <c r="K18" i="22"/>
  <c r="K18" i="31"/>
  <c r="K18" i="32"/>
  <c r="K18" i="39"/>
  <c r="K18" i="18"/>
  <c r="K20" i="18" l="1"/>
  <c r="K22" i="18" s="1"/>
  <c r="B22" i="18"/>
  <c r="B28" i="18" s="1"/>
  <c r="K20" i="39"/>
  <c r="K22" i="39" s="1"/>
  <c r="B22" i="39"/>
  <c r="B28" i="39" s="1"/>
  <c r="B30" i="39" s="1"/>
  <c r="C29" i="47" s="1"/>
  <c r="K20" i="35"/>
  <c r="K22" i="35" s="1"/>
  <c r="B22" i="35"/>
  <c r="B28" i="35" s="1"/>
  <c r="B43" i="47"/>
  <c r="B30" i="7"/>
  <c r="C43" i="47" s="1"/>
  <c r="B30" i="45"/>
  <c r="C11" i="47" s="1"/>
  <c r="B11" i="47"/>
  <c r="K20" i="41"/>
  <c r="K22" i="41" s="1"/>
  <c r="B22" i="41"/>
  <c r="B28" i="41" s="1"/>
  <c r="K20" i="32"/>
  <c r="K22" i="32" s="1"/>
  <c r="B22" i="32"/>
  <c r="B28" i="32" s="1"/>
  <c r="B8" i="47"/>
  <c r="B30" i="12"/>
  <c r="C8" i="47" s="1"/>
  <c r="B22" i="31"/>
  <c r="B28" i="31" s="1"/>
  <c r="K20" i="31"/>
  <c r="K22" i="31" s="1"/>
  <c r="K20" i="24"/>
  <c r="K22" i="24" s="1"/>
  <c r="B22" i="24"/>
  <c r="B28" i="24" s="1"/>
  <c r="B14" i="47"/>
  <c r="B30" i="34"/>
  <c r="C14" i="47" s="1"/>
  <c r="K20" i="25"/>
  <c r="K22" i="25" s="1"/>
  <c r="B22" i="25"/>
  <c r="B28" i="25" s="1"/>
  <c r="K20" i="23"/>
  <c r="K22" i="23" s="1"/>
  <c r="B22" i="23"/>
  <c r="B28" i="23" s="1"/>
  <c r="K20" i="46"/>
  <c r="K22" i="46" s="1"/>
  <c r="B22" i="46"/>
  <c r="B28" i="46" s="1"/>
  <c r="B22" i="15"/>
  <c r="B28" i="15" s="1"/>
  <c r="B30" i="15" s="1"/>
  <c r="K20" i="15"/>
  <c r="K22" i="15" s="1"/>
  <c r="K20" i="9"/>
  <c r="K22" i="9" s="1"/>
  <c r="B22" i="9"/>
  <c r="B28" i="9" s="1"/>
  <c r="B30" i="10"/>
  <c r="C39" i="47" s="1"/>
  <c r="B39" i="47"/>
  <c r="B22" i="29"/>
  <c r="B28" i="29" s="1"/>
  <c r="B30" i="29" s="1"/>
  <c r="K20" i="29"/>
  <c r="K22" i="29" s="1"/>
  <c r="K20" i="22"/>
  <c r="K22" i="22" s="1"/>
  <c r="B22" i="22"/>
  <c r="B28" i="22" s="1"/>
  <c r="K20" i="36"/>
  <c r="K22" i="36" s="1"/>
  <c r="B22" i="36"/>
  <c r="B28" i="36" s="1"/>
  <c r="K20" i="37"/>
  <c r="K22" i="37" s="1"/>
  <c r="B22" i="37"/>
  <c r="B28" i="37" s="1"/>
  <c r="B22" i="44"/>
  <c r="B28" i="44" s="1"/>
  <c r="B30" i="44" s="1"/>
  <c r="C9" i="47" s="1"/>
  <c r="K20" i="44"/>
  <c r="K22" i="44" s="1"/>
  <c r="B22" i="13"/>
  <c r="B28" i="13" s="1"/>
  <c r="K20" i="13"/>
  <c r="K22" i="13" s="1"/>
  <c r="K20" i="40"/>
  <c r="K22" i="40" s="1"/>
  <c r="B22" i="40"/>
  <c r="B28" i="40" s="1"/>
  <c r="B22" i="11"/>
  <c r="B28" i="11" s="1"/>
  <c r="K20" i="11"/>
  <c r="K22" i="11" s="1"/>
  <c r="K20" i="27"/>
  <c r="K22" i="27" s="1"/>
  <c r="B22" i="27"/>
  <c r="B28" i="27" s="1"/>
  <c r="K20" i="28"/>
  <c r="K22" i="28" s="1"/>
  <c r="B22" i="28"/>
  <c r="B28" i="28" s="1"/>
  <c r="K20" i="30"/>
  <c r="K22" i="30" s="1"/>
  <c r="B22" i="30"/>
  <c r="B28" i="30" s="1"/>
  <c r="B30" i="14"/>
  <c r="C33" i="47" s="1"/>
  <c r="B33" i="47"/>
  <c r="K20" i="20"/>
  <c r="K22" i="20" s="1"/>
  <c r="B22" i="20"/>
  <c r="B28" i="20" s="1"/>
  <c r="K20" i="6"/>
  <c r="K22" i="6" s="1"/>
  <c r="B22" i="6"/>
  <c r="B28" i="6" s="1"/>
  <c r="K20" i="17"/>
  <c r="K22" i="17" s="1"/>
  <c r="B22" i="17"/>
  <c r="B28" i="17" s="1"/>
  <c r="K20" i="1"/>
  <c r="K22" i="1" s="1"/>
  <c r="B22" i="1"/>
  <c r="B28" i="1" s="1"/>
  <c r="K20" i="21"/>
  <c r="K22" i="21" s="1"/>
  <c r="B22" i="21"/>
  <c r="B28" i="21" s="1"/>
  <c r="K20" i="8"/>
  <c r="K22" i="8" s="1"/>
  <c r="B22" i="8"/>
  <c r="B28" i="8" s="1"/>
  <c r="K20" i="4"/>
  <c r="K22" i="4" s="1"/>
  <c r="B22" i="4"/>
  <c r="B28" i="4" s="1"/>
  <c r="K20" i="19"/>
  <c r="K22" i="19" s="1"/>
  <c r="B22" i="19"/>
  <c r="B28" i="19" s="1"/>
  <c r="B30" i="4" l="1"/>
  <c r="C41" i="47" s="1"/>
  <c r="B41" i="47"/>
  <c r="B42" i="47"/>
  <c r="B30" i="8"/>
  <c r="C42" i="47" s="1"/>
  <c r="B30" i="1"/>
  <c r="C6" i="47" s="1"/>
  <c r="B6" i="47"/>
  <c r="B30" i="6"/>
  <c r="C44" i="47" s="1"/>
  <c r="B44" i="47"/>
  <c r="B30" i="30"/>
  <c r="C30" i="47" s="1"/>
  <c r="B30" i="47"/>
  <c r="B18" i="47"/>
  <c r="B30" i="27"/>
  <c r="C18" i="47" s="1"/>
  <c r="B32" i="47"/>
  <c r="B30" i="40"/>
  <c r="C32" i="47" s="1"/>
  <c r="B10" i="47"/>
  <c r="B9" i="47" s="1"/>
  <c r="B30" i="37"/>
  <c r="C10" i="47" s="1"/>
  <c r="B30" i="22"/>
  <c r="C24" i="47" s="1"/>
  <c r="B24" i="47"/>
  <c r="B30" i="9"/>
  <c r="C40" i="47" s="1"/>
  <c r="B40" i="47"/>
  <c r="B30" i="11"/>
  <c r="C7" i="47" s="1"/>
  <c r="B7" i="47"/>
  <c r="B38" i="47"/>
  <c r="B30" i="13"/>
  <c r="C38" i="47" s="1"/>
  <c r="C17" i="47"/>
  <c r="B17" i="47"/>
  <c r="C37" i="47"/>
  <c r="B37" i="47"/>
  <c r="B16" i="47"/>
  <c r="B30" i="31"/>
  <c r="C16" i="47" s="1"/>
  <c r="B27" i="47"/>
  <c r="B30" i="19"/>
  <c r="C27" i="47" s="1"/>
  <c r="B30" i="21"/>
  <c r="C25" i="47" s="1"/>
  <c r="B25" i="47"/>
  <c r="B30" i="17"/>
  <c r="C36" i="47" s="1"/>
  <c r="B36" i="47"/>
  <c r="B30" i="20"/>
  <c r="C23" i="47" s="1"/>
  <c r="B23" i="47"/>
  <c r="B31" i="47"/>
  <c r="B30" i="28"/>
  <c r="C31" i="47" s="1"/>
  <c r="B12" i="47"/>
  <c r="B30" i="36"/>
  <c r="C12" i="47" s="1"/>
  <c r="B22" i="47"/>
  <c r="B30" i="46"/>
  <c r="C22" i="47" s="1"/>
  <c r="B21" i="47"/>
  <c r="B30" i="23"/>
  <c r="C21" i="47" s="1"/>
  <c r="B30" i="25"/>
  <c r="C19" i="47" s="1"/>
  <c r="B19" i="47"/>
  <c r="B30" i="24"/>
  <c r="C20" i="47" s="1"/>
  <c r="B20" i="47"/>
  <c r="B30" i="32"/>
  <c r="C15" i="47" s="1"/>
  <c r="B15" i="47"/>
  <c r="B30" i="41"/>
  <c r="C34" i="47" s="1"/>
  <c r="B34" i="47"/>
  <c r="B30" i="35"/>
  <c r="C13" i="47" s="1"/>
  <c r="B13" i="47"/>
  <c r="B30" i="18"/>
  <c r="C28" i="47" s="1"/>
  <c r="B28" i="47"/>
  <c r="B29" i="47" l="1"/>
</calcChain>
</file>

<file path=xl/sharedStrings.xml><?xml version="1.0" encoding="utf-8"?>
<sst xmlns="http://schemas.openxmlformats.org/spreadsheetml/2006/main" count="1132" uniqueCount="118">
  <si>
    <t>Other</t>
  </si>
  <si>
    <t>Total</t>
  </si>
  <si>
    <t>TOTAL  -  Direct Costs</t>
  </si>
  <si>
    <t>Physical Plant</t>
  </si>
  <si>
    <t xml:space="preserve">    Sub-total</t>
  </si>
  <si>
    <t>Institutional Support</t>
  </si>
  <si>
    <t>Student Support</t>
  </si>
  <si>
    <t>Academic Support</t>
  </si>
  <si>
    <t>FULLY ALLOCATED COSTS</t>
  </si>
  <si>
    <t>Direct Instruction</t>
  </si>
  <si>
    <t>Indirect</t>
  </si>
  <si>
    <t>Indirect per FYE</t>
  </si>
  <si>
    <t>Instruction &amp; Dept Research</t>
  </si>
  <si>
    <t>Separately Budgeted Research</t>
  </si>
  <si>
    <t>Public Service</t>
  </si>
  <si>
    <t>Institution Support</t>
  </si>
  <si>
    <t>PRIMARY PROGRAMS</t>
  </si>
  <si>
    <t>SUPPORT PROGRAMS</t>
  </si>
  <si>
    <t>ALEXANDRIA TC</t>
  </si>
  <si>
    <t>ANOKA RAMSEY CC</t>
  </si>
  <si>
    <t>BEMIDJI SU</t>
  </si>
  <si>
    <t>CENTRAL LAKES COLLEGE</t>
  </si>
  <si>
    <t>CENTURY COLLEGE</t>
  </si>
  <si>
    <t>DAKOTA COUNTY TC</t>
  </si>
  <si>
    <t>FOND DU LAC TRIBAL &amp; CC</t>
  </si>
  <si>
    <t>HENNEPIN TC</t>
  </si>
  <si>
    <t>HIBBING COLLEGE</t>
  </si>
  <si>
    <t>INVER HILLS CC</t>
  </si>
  <si>
    <t>ITASCA CC</t>
  </si>
  <si>
    <t>LAKE SUPERIOR COLLEGE</t>
  </si>
  <si>
    <t>MINNEAPOLIS COLLEGE</t>
  </si>
  <si>
    <t>MINNESOTA WEST COLLEGE</t>
  </si>
  <si>
    <t>NORMANDALE CC</t>
  </si>
  <si>
    <t>NORTH HENNEPIN CC</t>
  </si>
  <si>
    <t>NORTHLAND COLLEGE</t>
  </si>
  <si>
    <t>PINE TC</t>
  </si>
  <si>
    <t>RAINY RIVER CC</t>
  </si>
  <si>
    <t>RIDGEWATER COLLEGE</t>
  </si>
  <si>
    <t>RIVERLAND COLLEGE</t>
  </si>
  <si>
    <t>ROCHESTER COLLEGE</t>
  </si>
  <si>
    <t>ST CLOUD SU</t>
  </si>
  <si>
    <t>WINONA SU</t>
  </si>
  <si>
    <t>NORTHEAST HIGHER EDUCATION DISTRICT</t>
  </si>
  <si>
    <t>Minnesota State Colleges and Universities</t>
  </si>
  <si>
    <t>Institution Name</t>
  </si>
  <si>
    <t>Instruction</t>
  </si>
  <si>
    <t>Research</t>
  </si>
  <si>
    <t>Student Services</t>
  </si>
  <si>
    <t>Alexandria TC</t>
  </si>
  <si>
    <t>Anoka Ramsey CC</t>
  </si>
  <si>
    <t>Central Lakes College</t>
  </si>
  <si>
    <t>Century College</t>
  </si>
  <si>
    <t>Dakota County TC</t>
  </si>
  <si>
    <t>Fond du Lac Tribal &amp; CC</t>
  </si>
  <si>
    <t>Hennepin TC</t>
  </si>
  <si>
    <t>Inver Hills CC</t>
  </si>
  <si>
    <t>Lake Superior College</t>
  </si>
  <si>
    <t>Minneapolis College</t>
  </si>
  <si>
    <t>Minnesota SU Moorhead</t>
  </si>
  <si>
    <t>Minnesota SU, Mankato</t>
  </si>
  <si>
    <t>Minnesota West College</t>
  </si>
  <si>
    <t>Normandale CC</t>
  </si>
  <si>
    <t>North Hennepin CC</t>
  </si>
  <si>
    <t>Northeast Higher Education District</t>
  </si>
  <si>
    <t xml:space="preserve">     Itasca CC</t>
  </si>
  <si>
    <t xml:space="preserve">     Mesabi Range College</t>
  </si>
  <si>
    <t xml:space="preserve">     Rainy River CC</t>
  </si>
  <si>
    <t xml:space="preserve">     Vermilion CC</t>
  </si>
  <si>
    <t>Northeast Service Unit</t>
  </si>
  <si>
    <t>Northland College</t>
  </si>
  <si>
    <t>Pine TC</t>
  </si>
  <si>
    <t>Ridgewater College</t>
  </si>
  <si>
    <t>Riverland College</t>
  </si>
  <si>
    <t>Rochester College</t>
  </si>
  <si>
    <t>St. Cloud SU</t>
  </si>
  <si>
    <t>St. Cloud TC</t>
  </si>
  <si>
    <t>Winona SU</t>
  </si>
  <si>
    <t>TOTAL</t>
  </si>
  <si>
    <t>MnSCU Finance Division</t>
  </si>
  <si>
    <t>MnSCU Systemwide/Office of the Chancellor</t>
  </si>
  <si>
    <t>Anoka TC</t>
  </si>
  <si>
    <t>Metropolitan SU</t>
  </si>
  <si>
    <t>Minnesota SC-Southeast Technical</t>
  </si>
  <si>
    <t>Southwest Minnesota SU</t>
  </si>
  <si>
    <t>Saint Paul College</t>
  </si>
  <si>
    <t>ANOKA TC</t>
  </si>
  <si>
    <t>METROPOLITAN SU</t>
  </si>
  <si>
    <t>MN SC-SOUTHEAST TECHNICAL</t>
  </si>
  <si>
    <t>SOUTHWEST MINNESOTA SU</t>
  </si>
  <si>
    <t>SAINT PAUL COLLEGE</t>
  </si>
  <si>
    <t>GFS 105 - excludes transfers, prior year salary, cost subsidies &amp; fiscal/auxiliary activities; instruction includes credit based; public service includes non credit and customized training/continuing education instruction; Other includes SGR appro and intercollegiate athletics</t>
  </si>
  <si>
    <t xml:space="preserve">     Hibbing College</t>
  </si>
  <si>
    <t xml:space="preserve">     Bemidji SU</t>
  </si>
  <si>
    <t xml:space="preserve">     Northwest TC-Bemidji</t>
  </si>
  <si>
    <t>Bemidji SU &amp; Northwest TC-Bemidji</t>
  </si>
  <si>
    <t>NORTHWEST TC-BEMIDJI</t>
  </si>
  <si>
    <t>BEMIDJI SU &amp; NORTHWEST TC-BEMIDJI</t>
  </si>
  <si>
    <t>Minnesota State College</t>
  </si>
  <si>
    <t>MINNESOTA STATE COLLEGE</t>
  </si>
  <si>
    <t>MINNESOTA SU MOORHEAD</t>
  </si>
  <si>
    <t>MINNESOTA SU, MANKATO</t>
  </si>
  <si>
    <t>MESABI RANGE COLLEGE</t>
  </si>
  <si>
    <t>VERMILION CC</t>
  </si>
  <si>
    <t>SOUTH CENTRAL COLLEGE</t>
  </si>
  <si>
    <t>MNSCU SYSTEM -- INCLUDES COST OF MnSCU SYSTEMWIDE/OFFICE OF THE CHANCELLOR &amp; NORTHEAST SERVICE UNIT</t>
  </si>
  <si>
    <t>South Central College</t>
  </si>
  <si>
    <t>ST CLOUD TCC</t>
  </si>
  <si>
    <t>Anoka Ramsey CC - Anoka TC</t>
  </si>
  <si>
    <t xml:space="preserve">     Anoka Ramsey CC</t>
  </si>
  <si>
    <t xml:space="preserve">     Anoka TC</t>
  </si>
  <si>
    <t>ANOKA RAMSEY CC - ANOKA TC</t>
  </si>
  <si>
    <t>April 2014</t>
  </si>
  <si>
    <t>FY2014 Expenditures by IPEDS Category -- Used in Step Down</t>
  </si>
  <si>
    <t>MINNESOTA STATE COLLEGES AND UNIVERSITIES - F.Y. 2014</t>
  </si>
  <si>
    <t>FY2014 FYE</t>
  </si>
  <si>
    <t>FY2014 Indirect</t>
  </si>
  <si>
    <t>March 2015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</si>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</sst>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39">
    <xf numFmtId="0" fontId="0" fillId="0" borderId="0" xfId="0"/>
    <xf numFmtId="38" fontId="0" fillId="0" borderId="0" xfId="0" applyNumberFormat="1"/>
    <xf numFmtId="38" fontId="0" fillId="0" borderId="0" xfId="0" applyNumberFormat="1" applyAlignment="1">
      <alignment horizontal="center"/>
    </xf>
    <xf numFmtId="38" fontId="0" fillId="0" borderId="0" xfId="0" applyNumberFormat="1" applyBorder="1" applyAlignment="1"/>
    <xf numFmtId="38" fontId="1" fillId="0" borderId="0" xfId="0" applyNumberFormat="1" applyFont="1" applyBorder="1" applyAlignment="1"/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Border="1" applyAlignment="1">
      <alignment horizontal="centerContinuous"/>
    </xf>
    <xf numFmtId="0" fontId="3" fillId="0" borderId="0" xfId="0" applyFont="1"/>
    <xf numFmtId="38" fontId="0" fillId="0" borderId="0" xfId="0" applyNumberFormat="1" applyBorder="1" applyAlignment="1">
      <alignment horizontal="center" wrapText="1"/>
    </xf>
    <xf numFmtId="38" fontId="0" fillId="0" borderId="0" xfId="0" applyNumberFormat="1" applyBorder="1" applyAlignment="1">
      <alignment wrapText="1"/>
    </xf>
    <xf numFmtId="38" fontId="1" fillId="0" borderId="1" xfId="0" applyNumberFormat="1" applyFont="1" applyBorder="1" applyAlignment="1">
      <alignment horizontal="centerContinuous"/>
    </xf>
    <xf numFmtId="38" fontId="0" fillId="0" borderId="1" xfId="0" applyNumberFormat="1" applyBorder="1" applyAlignment="1">
      <alignment horizontal="centerContinuous"/>
    </xf>
    <xf numFmtId="38" fontId="4" fillId="0" borderId="0" xfId="0" applyNumberFormat="1" applyFont="1"/>
    <xf numFmtId="0" fontId="4" fillId="0" borderId="0" xfId="0" applyFont="1"/>
    <xf numFmtId="0" fontId="5" fillId="2" borderId="2" xfId="2" applyFont="1" applyFill="1" applyBorder="1" applyAlignment="1">
      <alignment horizontal="center" wrapText="1"/>
    </xf>
    <xf numFmtId="38" fontId="4" fillId="2" borderId="2" xfId="0" applyNumberFormat="1" applyFont="1" applyFill="1" applyBorder="1" applyAlignment="1">
      <alignment horizontal="center" wrapText="1"/>
    </xf>
    <xf numFmtId="0" fontId="7" fillId="0" borderId="0" xfId="0" applyFont="1"/>
    <xf numFmtId="0" fontId="5" fillId="0" borderId="3" xfId="2" applyFont="1" applyFill="1" applyBorder="1" applyAlignment="1">
      <alignment horizontal="left" wrapText="1"/>
    </xf>
    <xf numFmtId="38" fontId="4" fillId="2" borderId="4" xfId="0" applyNumberFormat="1" applyFont="1" applyFill="1" applyBorder="1" applyAlignment="1">
      <alignment horizontal="right" wrapText="1"/>
    </xf>
    <xf numFmtId="38" fontId="5" fillId="0" borderId="2" xfId="1" applyNumberFormat="1" applyFont="1" applyFill="1" applyBorder="1" applyAlignment="1">
      <alignment horizontal="right" wrapText="1"/>
    </xf>
    <xf numFmtId="49" fontId="10" fillId="0" borderId="0" xfId="0" applyNumberFormat="1" applyFont="1"/>
    <xf numFmtId="38" fontId="4" fillId="0" borderId="0" xfId="0" applyNumberFormat="1" applyFont="1" applyFill="1"/>
    <xf numFmtId="38" fontId="4" fillId="0" borderId="0" xfId="0" applyNumberFormat="1" applyFont="1" applyFill="1" applyBorder="1"/>
    <xf numFmtId="38" fontId="9" fillId="0" borderId="0" xfId="0" applyNumberFormat="1" applyFont="1" applyFill="1"/>
    <xf numFmtId="38" fontId="5" fillId="0" borderId="2" xfId="2" applyNumberFormat="1" applyFont="1" applyFill="1" applyBorder="1" applyAlignment="1">
      <alignment horizontal="center" wrapText="1"/>
    </xf>
    <xf numFmtId="38" fontId="5" fillId="0" borderId="5" xfId="2" applyNumberFormat="1" applyFont="1" applyFill="1" applyBorder="1" applyAlignment="1">
      <alignment horizontal="center" wrapText="1"/>
    </xf>
    <xf numFmtId="38" fontId="5" fillId="0" borderId="6" xfId="1" applyNumberFormat="1" applyFont="1" applyFill="1" applyBorder="1" applyAlignment="1">
      <alignment horizontal="right" wrapText="1"/>
    </xf>
    <xf numFmtId="38" fontId="5" fillId="0" borderId="0" xfId="1" applyNumberFormat="1" applyFont="1" applyFill="1" applyBorder="1" applyAlignment="1">
      <alignment horizontal="right" wrapText="1"/>
    </xf>
    <xf numFmtId="38" fontId="5" fillId="0" borderId="6" xfId="1" applyNumberFormat="1" applyFont="1" applyFill="1" applyBorder="1"/>
    <xf numFmtId="38" fontId="5" fillId="0" borderId="2" xfId="2" applyNumberFormat="1" applyFont="1" applyFill="1" applyBorder="1" applyAlignment="1">
      <alignment horizontal="right" wrapText="1"/>
    </xf>
    <xf numFmtId="38" fontId="5" fillId="0" borderId="6" xfId="2" applyNumberFormat="1" applyFont="1" applyFill="1" applyBorder="1" applyAlignment="1">
      <alignment horizontal="right" wrapText="1"/>
    </xf>
    <xf numFmtId="49" fontId="4" fillId="0" borderId="0" xfId="0" applyNumberFormat="1" applyFont="1"/>
    <xf numFmtId="3" fontId="4" fillId="0" borderId="0" xfId="0" applyNumberFormat="1" applyFont="1"/>
    <xf numFmtId="3" fontId="4" fillId="0" borderId="6" xfId="0" applyNumberFormat="1" applyFont="1" applyBorder="1"/>
    <xf numFmtId="38" fontId="4" fillId="0" borderId="6" xfId="0" applyNumberFormat="1" applyFont="1" applyBorder="1"/>
    <xf numFmtId="0" fontId="12" fillId="0" borderId="0" xfId="0" applyFont="1"/>
    <xf numFmtId="0" fontId="4" fillId="0" borderId="0" xfId="0" applyFont="1" applyFill="1"/>
    <xf numFmtId="38" fontId="4" fillId="0" borderId="4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</cellXfs>
  <cellStyles count="3">
    <cellStyle name="Normal" xfId="0" builtinId="0"/>
    <cellStyle name="Normal_Master Expend Table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5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0" sqref="D10"/>
    </sheetView>
  </sheetViews>
  <sheetFormatPr defaultRowHeight="12" x14ac:dyDescent="0.2"/>
  <cols>
    <col min="1" max="1" width="34.140625" style="13" customWidth="1"/>
    <col min="2" max="2" width="11.42578125" style="21" customWidth="1"/>
    <col min="3" max="3" width="10.140625" style="21" customWidth="1"/>
    <col min="4" max="4" width="11.28515625" style="21" customWidth="1"/>
    <col min="5" max="5" width="10.140625" style="21" customWidth="1"/>
    <col min="6" max="6" width="2.7109375" style="22" customWidth="1"/>
    <col min="7" max="7" width="14.85546875" style="21" customWidth="1"/>
    <col min="8" max="8" width="13.7109375" style="21" customWidth="1"/>
    <col min="9" max="9" width="14.5703125" style="21" customWidth="1"/>
    <col min="10" max="10" width="11.7109375" style="21" customWidth="1"/>
    <col min="11" max="11" width="12.7109375" style="12" customWidth="1"/>
    <col min="12" max="12" width="2.28515625" style="13" customWidth="1"/>
    <col min="13" max="16384" width="9.140625" style="13"/>
  </cols>
  <sheetData>
    <row r="1" spans="1:11" ht="20.25" x14ac:dyDescent="0.3">
      <c r="A1" s="16" t="s">
        <v>43</v>
      </c>
      <c r="H1" s="23"/>
    </row>
    <row r="2" spans="1:11" x14ac:dyDescent="0.2">
      <c r="A2" s="16" t="s">
        <v>112</v>
      </c>
    </row>
    <row r="3" spans="1:11" ht="24" customHeight="1" x14ac:dyDescent="0.2">
      <c r="A3" s="38" t="s">
        <v>90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5" spans="1:11" ht="31.5" customHeight="1" x14ac:dyDescent="0.2">
      <c r="A5" s="14" t="s">
        <v>44</v>
      </c>
      <c r="B5" s="24" t="s">
        <v>45</v>
      </c>
      <c r="C5" s="24" t="s">
        <v>46</v>
      </c>
      <c r="D5" s="24" t="s">
        <v>14</v>
      </c>
      <c r="E5" s="24" t="s">
        <v>0</v>
      </c>
      <c r="F5" s="25"/>
      <c r="G5" s="24" t="s">
        <v>7</v>
      </c>
      <c r="H5" s="24" t="s">
        <v>47</v>
      </c>
      <c r="I5" s="24" t="s">
        <v>15</v>
      </c>
      <c r="J5" s="24" t="s">
        <v>3</v>
      </c>
      <c r="K5" s="15" t="s">
        <v>1</v>
      </c>
    </row>
    <row r="6" spans="1:11" ht="12" customHeight="1" x14ac:dyDescent="0.2">
      <c r="A6" s="17" t="s">
        <v>48</v>
      </c>
      <c r="B6" s="26">
        <v>10840990.029999999</v>
      </c>
      <c r="C6" s="26">
        <v>110851.75</v>
      </c>
      <c r="D6" s="26">
        <v>843201.06</v>
      </c>
      <c r="E6" s="26">
        <v>0</v>
      </c>
      <c r="F6" s="27"/>
      <c r="G6" s="26">
        <v>2357083.33</v>
      </c>
      <c r="H6" s="26">
        <v>1892501.47</v>
      </c>
      <c r="I6" s="26">
        <v>3159206.83</v>
      </c>
      <c r="J6" s="26">
        <v>2437844.88</v>
      </c>
      <c r="K6" s="18">
        <f t="shared" ref="K6:K47" si="0">SUM(B6:J6)</f>
        <v>21641679.349999998</v>
      </c>
    </row>
    <row r="7" spans="1:11" ht="12" customHeight="1" x14ac:dyDescent="0.2">
      <c r="A7" s="17" t="s">
        <v>107</v>
      </c>
      <c r="B7" s="26">
        <f>B8+B9</f>
        <v>26628481.939999998</v>
      </c>
      <c r="C7" s="26">
        <f>C8+C9</f>
        <v>41120.120000000003</v>
      </c>
      <c r="D7" s="26">
        <f>D8+D9</f>
        <v>2393799.39</v>
      </c>
      <c r="E7" s="26">
        <f>E8+E9</f>
        <v>24774.69</v>
      </c>
      <c r="F7" s="27"/>
      <c r="G7" s="26">
        <f>G8+G9</f>
        <v>7630737.2200000007</v>
      </c>
      <c r="H7" s="26">
        <f>H8+H9</f>
        <v>5477829.5999999996</v>
      </c>
      <c r="I7" s="26">
        <f>I8+I9</f>
        <v>9097230.6400000006</v>
      </c>
      <c r="J7" s="26">
        <f>J8+J9</f>
        <v>5793574.5499999998</v>
      </c>
      <c r="K7" s="18">
        <f t="shared" si="0"/>
        <v>57087548.149999999</v>
      </c>
    </row>
    <row r="8" spans="1:11" ht="12" customHeight="1" x14ac:dyDescent="0.2">
      <c r="A8" s="17" t="s">
        <v>108</v>
      </c>
      <c r="B8" s="26">
        <v>18894304.09</v>
      </c>
      <c r="C8" s="26">
        <v>41120.120000000003</v>
      </c>
      <c r="D8" s="26">
        <v>1108482.08</v>
      </c>
      <c r="E8" s="26">
        <v>24774.69</v>
      </c>
      <c r="F8" s="27"/>
      <c r="G8" s="26">
        <v>6088329.1200000001</v>
      </c>
      <c r="H8" s="26">
        <v>4027660.95</v>
      </c>
      <c r="I8" s="26">
        <v>5940999.5899999999</v>
      </c>
      <c r="J8" s="26">
        <v>4161442</v>
      </c>
      <c r="K8" s="18">
        <f t="shared" si="0"/>
        <v>40287112.640000001</v>
      </c>
    </row>
    <row r="9" spans="1:11" ht="12" customHeight="1" x14ac:dyDescent="0.2">
      <c r="A9" s="17" t="s">
        <v>109</v>
      </c>
      <c r="B9" s="26">
        <v>7734177.8499999996</v>
      </c>
      <c r="C9" s="28"/>
      <c r="D9" s="26">
        <v>1285317.31</v>
      </c>
      <c r="E9" s="26">
        <v>0</v>
      </c>
      <c r="F9" s="27"/>
      <c r="G9" s="26">
        <v>1542408.1</v>
      </c>
      <c r="H9" s="26">
        <v>1450168.65</v>
      </c>
      <c r="I9" s="26">
        <v>3156231.05</v>
      </c>
      <c r="J9" s="26">
        <v>1632132.55</v>
      </c>
      <c r="K9" s="18">
        <f t="shared" si="0"/>
        <v>16800435.510000002</v>
      </c>
    </row>
    <row r="10" spans="1:11" s="36" customFormat="1" ht="12" customHeight="1" x14ac:dyDescent="0.2">
      <c r="A10" s="17" t="s">
        <v>94</v>
      </c>
      <c r="B10" s="19">
        <f>SUM(B11:B12)</f>
        <v>23893021.800000001</v>
      </c>
      <c r="C10" s="19">
        <f>SUM(C11:C12)</f>
        <v>276314.31</v>
      </c>
      <c r="D10" s="19">
        <f>SUM(D11:D12)</f>
        <v>458827.83</v>
      </c>
      <c r="E10" s="19">
        <f>SUM(E11:E12)</f>
        <v>4098577.72</v>
      </c>
      <c r="F10" s="27"/>
      <c r="G10" s="19">
        <f>SUM(G11:G12)</f>
        <v>7941729</v>
      </c>
      <c r="H10" s="19">
        <f>SUM(H11:H12)</f>
        <v>5988137.21</v>
      </c>
      <c r="I10" s="19">
        <f>SUM(I11:I12)</f>
        <v>10284389.969999999</v>
      </c>
      <c r="J10" s="19">
        <f>SUM(J11:J12)</f>
        <v>6885524.3499999996</v>
      </c>
      <c r="K10" s="19">
        <f>SUM(K11:K12)</f>
        <v>59826522.189999998</v>
      </c>
    </row>
    <row r="11" spans="1:11" s="36" customFormat="1" ht="12" customHeight="1" x14ac:dyDescent="0.2">
      <c r="A11" s="17" t="s">
        <v>92</v>
      </c>
      <c r="B11" s="26">
        <v>19224394.440000001</v>
      </c>
      <c r="C11" s="26">
        <v>240255.2</v>
      </c>
      <c r="D11" s="26">
        <v>203109.2</v>
      </c>
      <c r="E11" s="26">
        <v>4098577.72</v>
      </c>
      <c r="F11" s="27"/>
      <c r="G11" s="26">
        <v>7363763.1900000004</v>
      </c>
      <c r="H11" s="26">
        <v>4322714.42</v>
      </c>
      <c r="I11" s="26">
        <v>8917048.0399999991</v>
      </c>
      <c r="J11" s="26">
        <v>6092136.4299999997</v>
      </c>
      <c r="K11" s="37">
        <f>SUM(B11:J11)</f>
        <v>50461998.640000001</v>
      </c>
    </row>
    <row r="12" spans="1:11" s="36" customFormat="1" ht="12" customHeight="1" x14ac:dyDescent="0.2">
      <c r="A12" s="17" t="s">
        <v>93</v>
      </c>
      <c r="B12" s="26">
        <v>4668627.3600000003</v>
      </c>
      <c r="C12" s="28">
        <v>36059.11</v>
      </c>
      <c r="D12" s="26">
        <v>255718.63</v>
      </c>
      <c r="E12" s="26">
        <v>0</v>
      </c>
      <c r="F12" s="27"/>
      <c r="G12" s="26">
        <v>577965.81000000006</v>
      </c>
      <c r="H12" s="26">
        <v>1665422.79</v>
      </c>
      <c r="I12" s="26">
        <v>1367341.93</v>
      </c>
      <c r="J12" s="26">
        <v>793387.92</v>
      </c>
      <c r="K12" s="37">
        <f>SUM(B12:J12)</f>
        <v>9364523.5500000007</v>
      </c>
    </row>
    <row r="13" spans="1:11" s="36" customFormat="1" ht="12" customHeight="1" x14ac:dyDescent="0.2">
      <c r="A13" s="17" t="s">
        <v>50</v>
      </c>
      <c r="B13" s="26">
        <v>13046034.66</v>
      </c>
      <c r="C13" s="28"/>
      <c r="D13" s="26">
        <v>178951.6</v>
      </c>
      <c r="E13" s="26">
        <v>68901.399999999994</v>
      </c>
      <c r="F13" s="27"/>
      <c r="G13" s="26">
        <v>3864556.15</v>
      </c>
      <c r="H13" s="26">
        <v>2974602.41</v>
      </c>
      <c r="I13" s="26">
        <v>3705320.43</v>
      </c>
      <c r="J13" s="26">
        <v>2783719.34</v>
      </c>
      <c r="K13" s="37">
        <f t="shared" si="0"/>
        <v>26622085.989999998</v>
      </c>
    </row>
    <row r="14" spans="1:11" s="36" customFormat="1" ht="12" customHeight="1" x14ac:dyDescent="0.2">
      <c r="A14" s="17" t="s">
        <v>51</v>
      </c>
      <c r="B14" s="26">
        <v>27468413.920000002</v>
      </c>
      <c r="C14" s="28"/>
      <c r="D14" s="26">
        <v>2145449.37</v>
      </c>
      <c r="E14" s="26">
        <v>0</v>
      </c>
      <c r="F14" s="27"/>
      <c r="G14" s="26">
        <v>6650868.8300000001</v>
      </c>
      <c r="H14" s="26">
        <v>6545765.7699999996</v>
      </c>
      <c r="I14" s="26">
        <v>9389200.1699999999</v>
      </c>
      <c r="J14" s="26">
        <v>6033279.75</v>
      </c>
      <c r="K14" s="37">
        <f t="shared" si="0"/>
        <v>58232977.810000002</v>
      </c>
    </row>
    <row r="15" spans="1:11" s="36" customFormat="1" ht="12" customHeight="1" x14ac:dyDescent="0.2">
      <c r="A15" s="17" t="s">
        <v>52</v>
      </c>
      <c r="B15" s="26">
        <v>10810624.35</v>
      </c>
      <c r="C15" s="28"/>
      <c r="D15" s="26">
        <v>1516626.9</v>
      </c>
      <c r="E15" s="26">
        <v>300828.93</v>
      </c>
      <c r="F15" s="27"/>
      <c r="G15" s="26">
        <v>2768182.5</v>
      </c>
      <c r="H15" s="26">
        <v>2322257.35</v>
      </c>
      <c r="I15" s="26">
        <v>2883733.92</v>
      </c>
      <c r="J15" s="26">
        <v>3480256.4</v>
      </c>
      <c r="K15" s="37">
        <f t="shared" si="0"/>
        <v>24082510.350000001</v>
      </c>
    </row>
    <row r="16" spans="1:11" s="36" customFormat="1" ht="12" customHeight="1" x14ac:dyDescent="0.2">
      <c r="A16" s="17" t="s">
        <v>53</v>
      </c>
      <c r="B16" s="26">
        <v>4350944.03</v>
      </c>
      <c r="C16" s="26">
        <v>45699.17</v>
      </c>
      <c r="D16" s="26">
        <v>1181.17</v>
      </c>
      <c r="E16" s="28"/>
      <c r="F16" s="27"/>
      <c r="G16" s="26">
        <v>1664247.62</v>
      </c>
      <c r="H16" s="26">
        <v>977204.91</v>
      </c>
      <c r="I16" s="26">
        <v>1373090.86</v>
      </c>
      <c r="J16" s="26">
        <v>1066306.26</v>
      </c>
      <c r="K16" s="37">
        <f t="shared" si="0"/>
        <v>9478674.0199999996</v>
      </c>
    </row>
    <row r="17" spans="1:11" s="36" customFormat="1" ht="12" customHeight="1" x14ac:dyDescent="0.2">
      <c r="A17" s="17" t="s">
        <v>54</v>
      </c>
      <c r="B17" s="26">
        <v>18978079.359999999</v>
      </c>
      <c r="C17" s="26"/>
      <c r="D17" s="26">
        <v>2840702.95</v>
      </c>
      <c r="E17" s="26">
        <v>0</v>
      </c>
      <c r="F17" s="27"/>
      <c r="G17" s="26">
        <v>6045242.5800000001</v>
      </c>
      <c r="H17" s="26">
        <v>4480412.26</v>
      </c>
      <c r="I17" s="26">
        <v>5026817.17</v>
      </c>
      <c r="J17" s="26">
        <v>5325733.75</v>
      </c>
      <c r="K17" s="37">
        <f t="shared" si="0"/>
        <v>42696988.07</v>
      </c>
    </row>
    <row r="18" spans="1:11" s="36" customFormat="1" ht="12" customHeight="1" x14ac:dyDescent="0.2">
      <c r="A18" s="17" t="s">
        <v>55</v>
      </c>
      <c r="B18" s="26">
        <v>14472278.439999999</v>
      </c>
      <c r="C18" s="28"/>
      <c r="D18" s="26">
        <v>579368.64</v>
      </c>
      <c r="E18" s="26">
        <v>0</v>
      </c>
      <c r="F18" s="27"/>
      <c r="G18" s="26">
        <v>4768944.8600000003</v>
      </c>
      <c r="H18" s="26">
        <v>3408227.47</v>
      </c>
      <c r="I18" s="26">
        <v>5108094.07</v>
      </c>
      <c r="J18" s="26">
        <v>3309563.86</v>
      </c>
      <c r="K18" s="37">
        <f t="shared" si="0"/>
        <v>31646477.34</v>
      </c>
    </row>
    <row r="19" spans="1:11" s="36" customFormat="1" ht="12" customHeight="1" x14ac:dyDescent="0.2">
      <c r="A19" s="17" t="s">
        <v>56</v>
      </c>
      <c r="B19" s="26">
        <v>16996805.32</v>
      </c>
      <c r="C19" s="26">
        <v>265138.34999999998</v>
      </c>
      <c r="D19" s="26">
        <v>1838268.44</v>
      </c>
      <c r="E19" s="26">
        <v>0</v>
      </c>
      <c r="F19" s="27"/>
      <c r="G19" s="26">
        <v>2807991.91</v>
      </c>
      <c r="H19" s="26">
        <v>2494322.65</v>
      </c>
      <c r="I19" s="26">
        <v>4026937.1</v>
      </c>
      <c r="J19" s="26">
        <v>5242989.62</v>
      </c>
      <c r="K19" s="37">
        <f t="shared" si="0"/>
        <v>33672453.390000001</v>
      </c>
    </row>
    <row r="20" spans="1:11" s="36" customFormat="1" ht="12" customHeight="1" x14ac:dyDescent="0.2">
      <c r="A20" s="17" t="s">
        <v>81</v>
      </c>
      <c r="B20" s="26">
        <v>24409287.100000001</v>
      </c>
      <c r="C20" s="26">
        <v>309446.21000000002</v>
      </c>
      <c r="D20" s="26">
        <v>42659.63</v>
      </c>
      <c r="E20" s="26">
        <v>0</v>
      </c>
      <c r="F20" s="27"/>
      <c r="G20" s="26">
        <v>19072320.539999999</v>
      </c>
      <c r="H20" s="26">
        <v>5479349.71</v>
      </c>
      <c r="I20" s="26">
        <v>11292866.949999999</v>
      </c>
      <c r="J20" s="26">
        <v>7540803.5899999999</v>
      </c>
      <c r="K20" s="37">
        <f t="shared" si="0"/>
        <v>68146733.730000004</v>
      </c>
    </row>
    <row r="21" spans="1:11" s="36" customFormat="1" ht="12" customHeight="1" x14ac:dyDescent="0.2">
      <c r="A21" s="17" t="s">
        <v>57</v>
      </c>
      <c r="B21" s="26">
        <v>24929032.440000001</v>
      </c>
      <c r="C21" s="28"/>
      <c r="D21" s="26">
        <v>1373813.99</v>
      </c>
      <c r="E21" s="26">
        <v>0</v>
      </c>
      <c r="F21" s="27"/>
      <c r="G21" s="26">
        <v>6783359.2300000004</v>
      </c>
      <c r="H21" s="26">
        <v>6756875.0199999996</v>
      </c>
      <c r="I21" s="26">
        <f>42118483.51-34500000</f>
        <v>7618483.5099999979</v>
      </c>
      <c r="J21" s="26">
        <v>6536083.9299999997</v>
      </c>
      <c r="K21" s="37">
        <f t="shared" si="0"/>
        <v>53997648.119999997</v>
      </c>
    </row>
    <row r="22" spans="1:11" s="36" customFormat="1" ht="12" customHeight="1" x14ac:dyDescent="0.2">
      <c r="A22" s="17" t="s">
        <v>82</v>
      </c>
      <c r="B22" s="26">
        <v>9448769.3699999992</v>
      </c>
      <c r="C22" s="26">
        <v>18056.86</v>
      </c>
      <c r="D22" s="26">
        <v>246148.93</v>
      </c>
      <c r="E22" s="26">
        <v>0</v>
      </c>
      <c r="F22" s="27"/>
      <c r="G22" s="26">
        <v>2349135.88</v>
      </c>
      <c r="H22" s="26">
        <v>1467242.13</v>
      </c>
      <c r="I22" s="26">
        <v>3057166.58</v>
      </c>
      <c r="J22" s="26">
        <v>1801330.98</v>
      </c>
      <c r="K22" s="37">
        <f t="shared" si="0"/>
        <v>18387850.729999997</v>
      </c>
    </row>
    <row r="23" spans="1:11" s="36" customFormat="1" ht="12" customHeight="1" x14ac:dyDescent="0.2">
      <c r="A23" s="17" t="s">
        <v>97</v>
      </c>
      <c r="B23" s="26">
        <v>20918138.57</v>
      </c>
      <c r="C23" s="28">
        <v>0</v>
      </c>
      <c r="D23" s="26">
        <v>1203728.6100000001</v>
      </c>
      <c r="E23" s="26"/>
      <c r="F23" s="27"/>
      <c r="G23" s="26">
        <v>6669736.29</v>
      </c>
      <c r="H23" s="26">
        <v>5399367.6299999999</v>
      </c>
      <c r="I23" s="26">
        <v>6416115.9100000001</v>
      </c>
      <c r="J23" s="26">
        <v>4351965.63</v>
      </c>
      <c r="K23" s="37">
        <f t="shared" si="0"/>
        <v>44959052.640000008</v>
      </c>
    </row>
    <row r="24" spans="1:11" s="36" customFormat="1" ht="12" customHeight="1" x14ac:dyDescent="0.2">
      <c r="A24" s="17" t="s">
        <v>58</v>
      </c>
      <c r="B24" s="26">
        <v>34830003.369999997</v>
      </c>
      <c r="C24" s="26">
        <v>47574.92</v>
      </c>
      <c r="D24" s="26">
        <v>253905.01</v>
      </c>
      <c r="E24" s="26">
        <v>2616419.37</v>
      </c>
      <c r="F24" s="27"/>
      <c r="G24" s="26">
        <v>12671757.789999999</v>
      </c>
      <c r="H24" s="26">
        <v>7947198.9299999997</v>
      </c>
      <c r="I24" s="26">
        <v>7168674.54</v>
      </c>
      <c r="J24" s="26">
        <v>8670438.1199999992</v>
      </c>
      <c r="K24" s="37">
        <f>SUM(B24:J24)</f>
        <v>74205972.049999997</v>
      </c>
    </row>
    <row r="25" spans="1:11" s="36" customFormat="1" ht="12" customHeight="1" x14ac:dyDescent="0.2">
      <c r="A25" s="17" t="s">
        <v>59</v>
      </c>
      <c r="B25" s="26">
        <v>70422085.540000007</v>
      </c>
      <c r="C25" s="26">
        <v>985392.93</v>
      </c>
      <c r="D25" s="26">
        <v>1686165.82</v>
      </c>
      <c r="E25" s="26">
        <v>5318266.3600000003</v>
      </c>
      <c r="F25" s="27"/>
      <c r="G25" s="26">
        <v>27799473.09</v>
      </c>
      <c r="H25" s="26">
        <v>11642186.48</v>
      </c>
      <c r="I25" s="26">
        <v>18420451.300000001</v>
      </c>
      <c r="J25" s="26">
        <v>15601210.300000001</v>
      </c>
      <c r="K25" s="37">
        <f t="shared" si="0"/>
        <v>151875231.82000002</v>
      </c>
    </row>
    <row r="26" spans="1:11" s="36" customFormat="1" ht="12" customHeight="1" x14ac:dyDescent="0.2">
      <c r="A26" s="17" t="s">
        <v>60</v>
      </c>
      <c r="B26" s="26">
        <v>10479979.85</v>
      </c>
      <c r="C26" s="26"/>
      <c r="D26" s="26">
        <v>1240376.1499999999</v>
      </c>
      <c r="E26" s="26">
        <v>157121.92000000001</v>
      </c>
      <c r="F26" s="27"/>
      <c r="G26" s="26">
        <v>2706565.7</v>
      </c>
      <c r="H26" s="26">
        <v>3200391.61</v>
      </c>
      <c r="I26" s="26">
        <v>3017769.61</v>
      </c>
      <c r="J26" s="26">
        <v>2331036.1800000002</v>
      </c>
      <c r="K26" s="37">
        <f t="shared" si="0"/>
        <v>23133241.02</v>
      </c>
    </row>
    <row r="27" spans="1:11" s="36" customFormat="1" ht="12" customHeight="1" x14ac:dyDescent="0.2">
      <c r="A27" s="17" t="s">
        <v>79</v>
      </c>
      <c r="B27" s="28"/>
      <c r="C27" s="26">
        <v>11500</v>
      </c>
      <c r="D27" s="26">
        <v>1130679</v>
      </c>
      <c r="E27" s="28"/>
      <c r="F27" s="27"/>
      <c r="G27" s="26">
        <v>312389.17</v>
      </c>
      <c r="H27" s="26">
        <v>705382.23</v>
      </c>
      <c r="I27" s="26">
        <v>15872043.039999999</v>
      </c>
      <c r="J27" s="26">
        <v>1646991.52</v>
      </c>
      <c r="K27" s="37">
        <f t="shared" si="0"/>
        <v>19678984.959999997</v>
      </c>
    </row>
    <row r="28" spans="1:11" s="36" customFormat="1" ht="12" customHeight="1" x14ac:dyDescent="0.2">
      <c r="A28" s="17" t="s">
        <v>61</v>
      </c>
      <c r="B28" s="26">
        <v>25743144.129999999</v>
      </c>
      <c r="C28" s="28">
        <v>4767.5200000000004</v>
      </c>
      <c r="D28" s="26">
        <v>1354395.53</v>
      </c>
      <c r="E28" s="26"/>
      <c r="F28" s="27"/>
      <c r="G28" s="26">
        <v>9303028.6500000004</v>
      </c>
      <c r="H28" s="26">
        <v>4688010.71</v>
      </c>
      <c r="I28" s="26">
        <v>7450185.8200000003</v>
      </c>
      <c r="J28" s="26">
        <v>5718672.75</v>
      </c>
      <c r="K28" s="37">
        <f t="shared" si="0"/>
        <v>54262205.109999999</v>
      </c>
    </row>
    <row r="29" spans="1:11" s="36" customFormat="1" ht="12" customHeight="1" x14ac:dyDescent="0.2">
      <c r="A29" s="17" t="s">
        <v>62</v>
      </c>
      <c r="B29" s="26">
        <v>18736459.600000001</v>
      </c>
      <c r="C29" s="26">
        <v>1244.67</v>
      </c>
      <c r="D29" s="26">
        <v>652778.71</v>
      </c>
      <c r="E29" s="28"/>
      <c r="F29" s="27"/>
      <c r="G29" s="26">
        <v>6758092.5300000003</v>
      </c>
      <c r="H29" s="26">
        <v>4042150.85</v>
      </c>
      <c r="I29" s="26">
        <v>4789183.97</v>
      </c>
      <c r="J29" s="26">
        <v>5155448.9000000004</v>
      </c>
      <c r="K29" s="37">
        <f t="shared" si="0"/>
        <v>40135359.230000004</v>
      </c>
    </row>
    <row r="30" spans="1:11" s="36" customFormat="1" ht="12" customHeight="1" x14ac:dyDescent="0.2">
      <c r="A30" s="17" t="s">
        <v>63</v>
      </c>
      <c r="B30" s="29">
        <f>SUM(B31:B35)</f>
        <v>19840844.109999999</v>
      </c>
      <c r="C30" s="29">
        <f>SUM(C31:C35)</f>
        <v>36522.18</v>
      </c>
      <c r="D30" s="29">
        <f>SUM(D31:D35)</f>
        <v>1315389.9300000002</v>
      </c>
      <c r="E30" s="29">
        <f>SUM(E31:E35)</f>
        <v>523203.31</v>
      </c>
      <c r="F30" s="22"/>
      <c r="G30" s="29">
        <f>SUM(G31:G35)</f>
        <v>3982045.16</v>
      </c>
      <c r="H30" s="29">
        <f>SUM(H31:H35)</f>
        <v>5140658.78</v>
      </c>
      <c r="I30" s="29">
        <f>SUM(I31:I35)</f>
        <v>7152165.0999999996</v>
      </c>
      <c r="J30" s="29">
        <f>SUM(J31:J35)</f>
        <v>5177026.34</v>
      </c>
      <c r="K30" s="37">
        <f t="shared" si="0"/>
        <v>43167854.909999996</v>
      </c>
    </row>
    <row r="31" spans="1:11" s="36" customFormat="1" ht="12" customHeight="1" x14ac:dyDescent="0.2">
      <c r="A31" s="17" t="s">
        <v>91</v>
      </c>
      <c r="B31" s="26">
        <v>6894124.4900000002</v>
      </c>
      <c r="C31" s="28"/>
      <c r="D31" s="26">
        <v>926391.33</v>
      </c>
      <c r="E31" s="26">
        <v>4786.88</v>
      </c>
      <c r="F31" s="27"/>
      <c r="G31" s="26">
        <v>1159932.82</v>
      </c>
      <c r="H31" s="26">
        <v>1327399.48</v>
      </c>
      <c r="I31" s="26">
        <v>2108808.2000000002</v>
      </c>
      <c r="J31" s="26">
        <v>1767582.29</v>
      </c>
      <c r="K31" s="37">
        <f t="shared" si="0"/>
        <v>14189025.489999998</v>
      </c>
    </row>
    <row r="32" spans="1:11" s="36" customFormat="1" ht="12" customHeight="1" x14ac:dyDescent="0.2">
      <c r="A32" s="17" t="s">
        <v>64</v>
      </c>
      <c r="B32" s="26">
        <v>4647474.09</v>
      </c>
      <c r="C32" s="26">
        <v>25127.29</v>
      </c>
      <c r="D32" s="26">
        <v>112862.05</v>
      </c>
      <c r="E32" s="26">
        <v>201604.66</v>
      </c>
      <c r="F32" s="27"/>
      <c r="G32" s="26">
        <v>902278.15</v>
      </c>
      <c r="H32" s="26">
        <v>1296867.0900000001</v>
      </c>
      <c r="I32" s="26">
        <v>1747876.06</v>
      </c>
      <c r="J32" s="26">
        <v>963633.53</v>
      </c>
      <c r="K32" s="37">
        <f t="shared" si="0"/>
        <v>9897722.9199999999</v>
      </c>
    </row>
    <row r="33" spans="1:11" ht="12" customHeight="1" x14ac:dyDescent="0.2">
      <c r="A33" s="17" t="s">
        <v>65</v>
      </c>
      <c r="B33" s="26">
        <v>5203527.97</v>
      </c>
      <c r="C33" s="28"/>
      <c r="D33" s="26">
        <v>164294.48000000001</v>
      </c>
      <c r="E33" s="26">
        <v>163976.78</v>
      </c>
      <c r="F33" s="27"/>
      <c r="G33" s="26">
        <v>998126.17</v>
      </c>
      <c r="H33" s="26">
        <v>1044849.04</v>
      </c>
      <c r="I33" s="26">
        <v>1451801.61</v>
      </c>
      <c r="J33" s="26">
        <v>1506141.68</v>
      </c>
      <c r="K33" s="18">
        <f t="shared" si="0"/>
        <v>10532717.73</v>
      </c>
    </row>
    <row r="34" spans="1:11" ht="12" customHeight="1" x14ac:dyDescent="0.2">
      <c r="A34" s="17" t="s">
        <v>66</v>
      </c>
      <c r="B34" s="26">
        <v>1096105.1399999999</v>
      </c>
      <c r="C34" s="26">
        <v>11394.89</v>
      </c>
      <c r="D34" s="26">
        <v>2153</v>
      </c>
      <c r="E34" s="26">
        <v>152834.99</v>
      </c>
      <c r="F34" s="27"/>
      <c r="G34" s="26">
        <v>253682.3</v>
      </c>
      <c r="H34" s="26">
        <v>474356.97</v>
      </c>
      <c r="I34" s="26">
        <v>742493.72</v>
      </c>
      <c r="J34" s="26">
        <v>381947.17</v>
      </c>
      <c r="K34" s="18">
        <f t="shared" si="0"/>
        <v>3114968.1799999997</v>
      </c>
    </row>
    <row r="35" spans="1:11" ht="12" customHeight="1" x14ac:dyDescent="0.2">
      <c r="A35" s="17" t="s">
        <v>67</v>
      </c>
      <c r="B35" s="26">
        <v>1999612.42</v>
      </c>
      <c r="C35" s="28"/>
      <c r="D35" s="26">
        <v>109689.07</v>
      </c>
      <c r="E35" s="28"/>
      <c r="F35" s="27"/>
      <c r="G35" s="26">
        <v>668025.72</v>
      </c>
      <c r="H35" s="26">
        <v>997186.2</v>
      </c>
      <c r="I35" s="26">
        <v>1101185.51</v>
      </c>
      <c r="J35" s="26">
        <v>557721.67000000004</v>
      </c>
      <c r="K35" s="18">
        <f t="shared" si="0"/>
        <v>5433420.5899999999</v>
      </c>
    </row>
    <row r="36" spans="1:11" ht="12" customHeight="1" x14ac:dyDescent="0.2">
      <c r="A36" s="17" t="s">
        <v>68</v>
      </c>
      <c r="B36" s="28"/>
      <c r="C36" s="26"/>
      <c r="D36" s="26"/>
      <c r="E36" s="28"/>
      <c r="F36" s="27"/>
      <c r="G36" s="26">
        <v>298418.07</v>
      </c>
      <c r="H36" s="30"/>
      <c r="I36" s="26">
        <v>760470.63</v>
      </c>
      <c r="J36" s="30"/>
      <c r="K36" s="18">
        <f t="shared" si="0"/>
        <v>1058888.7</v>
      </c>
    </row>
    <row r="37" spans="1:11" ht="12" customHeight="1" x14ac:dyDescent="0.2">
      <c r="A37" s="17" t="s">
        <v>69</v>
      </c>
      <c r="B37" s="26">
        <v>12858399.41</v>
      </c>
      <c r="C37" s="26">
        <v>9935.1</v>
      </c>
      <c r="D37" s="26">
        <v>644982.35</v>
      </c>
      <c r="E37" s="26">
        <v>243025.78</v>
      </c>
      <c r="F37" s="27"/>
      <c r="G37" s="26">
        <v>3562786.16</v>
      </c>
      <c r="H37" s="26">
        <v>2606588.4900000002</v>
      </c>
      <c r="I37" s="26">
        <v>3751739.74</v>
      </c>
      <c r="J37" s="26">
        <v>2643199.8199999998</v>
      </c>
      <c r="K37" s="18">
        <f t="shared" si="0"/>
        <v>26320656.850000001</v>
      </c>
    </row>
    <row r="38" spans="1:11" ht="12" customHeight="1" x14ac:dyDescent="0.2">
      <c r="A38" s="17" t="s">
        <v>70</v>
      </c>
      <c r="B38" s="26">
        <v>3329107.08</v>
      </c>
      <c r="C38" s="28">
        <v>66702.2</v>
      </c>
      <c r="D38" s="26">
        <v>235660.75</v>
      </c>
      <c r="E38" s="26"/>
      <c r="F38" s="27"/>
      <c r="G38" s="26">
        <v>1008531.89</v>
      </c>
      <c r="H38" s="26">
        <v>862286.25</v>
      </c>
      <c r="I38" s="26">
        <v>1564361.85</v>
      </c>
      <c r="J38" s="26">
        <v>581192.39</v>
      </c>
      <c r="K38" s="18">
        <f t="shared" si="0"/>
        <v>7647842.4099999992</v>
      </c>
    </row>
    <row r="39" spans="1:11" ht="12" customHeight="1" x14ac:dyDescent="0.2">
      <c r="A39" s="17" t="s">
        <v>71</v>
      </c>
      <c r="B39" s="26">
        <v>16689663.17</v>
      </c>
      <c r="C39" s="28"/>
      <c r="D39" s="26">
        <v>1644089.36</v>
      </c>
      <c r="E39" s="26">
        <v>1748.45</v>
      </c>
      <c r="F39" s="27"/>
      <c r="G39" s="26">
        <v>3455065.34</v>
      </c>
      <c r="H39" s="26">
        <v>2575304.06</v>
      </c>
      <c r="I39" s="26">
        <v>4953144.92</v>
      </c>
      <c r="J39" s="26">
        <v>3112822.17</v>
      </c>
      <c r="K39" s="18">
        <f t="shared" si="0"/>
        <v>32431837.469999999</v>
      </c>
    </row>
    <row r="40" spans="1:11" ht="12" customHeight="1" x14ac:dyDescent="0.2">
      <c r="A40" s="17" t="s">
        <v>72</v>
      </c>
      <c r="B40" s="26">
        <v>10742341.199999999</v>
      </c>
      <c r="C40" s="28"/>
      <c r="D40" s="26">
        <v>1388013.16</v>
      </c>
      <c r="E40" s="26">
        <v>127362.93</v>
      </c>
      <c r="F40" s="27"/>
      <c r="G40" s="26">
        <v>3136620.76</v>
      </c>
      <c r="H40" s="26">
        <v>2771515.53</v>
      </c>
      <c r="I40" s="26">
        <v>3579534.06</v>
      </c>
      <c r="J40" s="26">
        <v>3001147.29</v>
      </c>
      <c r="K40" s="18">
        <f t="shared" si="0"/>
        <v>24746534.929999996</v>
      </c>
    </row>
    <row r="41" spans="1:11" ht="12" customHeight="1" x14ac:dyDescent="0.2">
      <c r="A41" s="17" t="s">
        <v>73</v>
      </c>
      <c r="B41" s="26">
        <v>18735748.93</v>
      </c>
      <c r="C41" s="28"/>
      <c r="D41" s="26">
        <v>429860.69</v>
      </c>
      <c r="E41" s="26">
        <v>124173.66</v>
      </c>
      <c r="F41" s="27"/>
      <c r="G41" s="26">
        <v>6554423.2599999998</v>
      </c>
      <c r="H41" s="26">
        <v>2926241.35</v>
      </c>
      <c r="I41" s="26">
        <v>4729952.47</v>
      </c>
      <c r="J41" s="26">
        <v>4475019.0999999996</v>
      </c>
      <c r="K41" s="18">
        <f t="shared" si="0"/>
        <v>37975419.460000001</v>
      </c>
    </row>
    <row r="42" spans="1:11" ht="12" customHeight="1" x14ac:dyDescent="0.2">
      <c r="A42" s="17" t="s">
        <v>84</v>
      </c>
      <c r="B42" s="26">
        <v>19198673.32</v>
      </c>
      <c r="C42" s="26">
        <v>182814.57</v>
      </c>
      <c r="D42" s="26">
        <v>712726.91</v>
      </c>
      <c r="E42" s="26"/>
      <c r="F42" s="27"/>
      <c r="G42" s="26">
        <v>3852053.64</v>
      </c>
      <c r="H42" s="26">
        <v>3811536.33</v>
      </c>
      <c r="I42" s="26">
        <v>5586887.1900000004</v>
      </c>
      <c r="J42" s="26">
        <v>4830390.5</v>
      </c>
      <c r="K42" s="18">
        <f t="shared" si="0"/>
        <v>38175082.460000008</v>
      </c>
    </row>
    <row r="43" spans="1:11" ht="12" customHeight="1" x14ac:dyDescent="0.2">
      <c r="A43" s="17" t="s">
        <v>105</v>
      </c>
      <c r="B43" s="26">
        <v>13620446.289999999</v>
      </c>
      <c r="C43" s="28">
        <v>82975.7</v>
      </c>
      <c r="D43" s="26">
        <v>1801032.45</v>
      </c>
      <c r="E43" s="26"/>
      <c r="F43" s="27"/>
      <c r="G43" s="26">
        <v>3303404.77</v>
      </c>
      <c r="H43" s="26">
        <v>2857232.15</v>
      </c>
      <c r="I43" s="26">
        <v>5137147.67</v>
      </c>
      <c r="J43" s="26">
        <v>2348022.37</v>
      </c>
      <c r="K43" s="18">
        <f t="shared" si="0"/>
        <v>29150261.399999995</v>
      </c>
    </row>
    <row r="44" spans="1:11" ht="12" customHeight="1" x14ac:dyDescent="0.2">
      <c r="A44" s="17" t="s">
        <v>83</v>
      </c>
      <c r="B44" s="26">
        <v>15635962.140000001</v>
      </c>
      <c r="C44" s="26">
        <v>0</v>
      </c>
      <c r="D44" s="26">
        <v>476722.71</v>
      </c>
      <c r="E44" s="26">
        <v>2323206.1</v>
      </c>
      <c r="F44" s="27"/>
      <c r="G44" s="26">
        <v>5165504.4800000004</v>
      </c>
      <c r="H44" s="26">
        <v>4467846.37</v>
      </c>
      <c r="I44" s="26">
        <v>5982298.9100000001</v>
      </c>
      <c r="J44" s="26">
        <v>4220797.67</v>
      </c>
      <c r="K44" s="18">
        <f t="shared" si="0"/>
        <v>38272338.38000001</v>
      </c>
    </row>
    <row r="45" spans="1:11" ht="12" customHeight="1" x14ac:dyDescent="0.2">
      <c r="A45" s="17" t="s">
        <v>74</v>
      </c>
      <c r="B45" s="26">
        <v>73527236.269999996</v>
      </c>
      <c r="C45" s="26">
        <v>926648.95</v>
      </c>
      <c r="D45" s="26">
        <v>4583851.62</v>
      </c>
      <c r="E45" s="26">
        <v>4595101.93</v>
      </c>
      <c r="F45" s="27"/>
      <c r="G45" s="26">
        <v>21992088.940000001</v>
      </c>
      <c r="H45" s="26">
        <v>11036832.92</v>
      </c>
      <c r="I45" s="26">
        <v>23325804.109999999</v>
      </c>
      <c r="J45" s="26">
        <v>16502988.52</v>
      </c>
      <c r="K45" s="18">
        <f t="shared" si="0"/>
        <v>156490553.26000002</v>
      </c>
    </row>
    <row r="46" spans="1:11" ht="12" customHeight="1" x14ac:dyDescent="0.2">
      <c r="A46" s="17" t="s">
        <v>75</v>
      </c>
      <c r="B46" s="26">
        <v>16512532.18</v>
      </c>
      <c r="C46" s="28"/>
      <c r="D46" s="26">
        <v>1598261.07</v>
      </c>
      <c r="E46" s="26"/>
      <c r="F46" s="27"/>
      <c r="G46" s="26">
        <v>3063091.27</v>
      </c>
      <c r="H46" s="26">
        <v>3009596.7</v>
      </c>
      <c r="I46" s="26">
        <v>3220997.74</v>
      </c>
      <c r="J46" s="26">
        <v>3140728.77</v>
      </c>
      <c r="K46" s="18">
        <f t="shared" si="0"/>
        <v>30545207.73</v>
      </c>
    </row>
    <row r="47" spans="1:11" ht="12" customHeight="1" x14ac:dyDescent="0.2">
      <c r="A47" s="17" t="s">
        <v>76</v>
      </c>
      <c r="B47" s="26">
        <v>44429827.159999996</v>
      </c>
      <c r="C47" s="26">
        <v>94677.4</v>
      </c>
      <c r="D47" s="26">
        <v>157984.70000000001</v>
      </c>
      <c r="E47" s="26">
        <v>2550649.16</v>
      </c>
      <c r="F47" s="27"/>
      <c r="G47" s="26">
        <v>14374592.58</v>
      </c>
      <c r="H47" s="26">
        <v>6249317.0300000003</v>
      </c>
      <c r="I47" s="26">
        <v>17478384.149999999</v>
      </c>
      <c r="J47" s="26">
        <v>9299631.6899999995</v>
      </c>
      <c r="K47" s="18">
        <f t="shared" si="0"/>
        <v>94635063.870000005</v>
      </c>
    </row>
    <row r="49" spans="1:11" hidden="1" x14ac:dyDescent="0.2">
      <c r="A49" s="13" t="s">
        <v>77</v>
      </c>
      <c r="B49" s="21">
        <f>SUM(B6:B47)-B11-B12-B31-B32-B33-B34-B35</f>
        <v>699151837.01999986</v>
      </c>
      <c r="C49" s="21">
        <f>SUM(C6:C47)-C11-C12-C31-C32-C33-C34-C35</f>
        <v>3558503.03</v>
      </c>
      <c r="D49" s="21">
        <f>SUM(D6:D47)-D11-D12-D31-D32-D33-D34-D35</f>
        <v>39363403.820000008</v>
      </c>
      <c r="E49" s="21">
        <f>SUM(E6:E47)-E11-E12-E31-E32-E33-E34-E35</f>
        <v>23098136.400000002</v>
      </c>
      <c r="G49" s="21">
        <f>SUM(G6:G47)-G11-G12-G31-G32-G33-G34-G35</f>
        <v>222304806.40999994</v>
      </c>
      <c r="H49" s="21">
        <f>SUM(H6:H47)-H11-H12-H31-H32-H33-H34-H35</f>
        <v>141682201.96000004</v>
      </c>
      <c r="I49" s="21">
        <f>SUM(I6:I47)-I11-I12-I31-I32-I33-I34-I35</f>
        <v>235477081.56999996</v>
      </c>
      <c r="J49" s="21">
        <f>SUM(J6:J47)-J11-J12-J31-J32-J33-J34-J35</f>
        <v>166839315.84000006</v>
      </c>
      <c r="K49" s="12">
        <f>SUM(K6:K47)-K11-K12-K31-K32-K33-K34-K35-K8-K9</f>
        <v>1474387737.9000003</v>
      </c>
    </row>
    <row r="51" spans="1:11" x14ac:dyDescent="0.2">
      <c r="A51" s="20" t="s">
        <v>78</v>
      </c>
    </row>
    <row r="52" spans="1:11" x14ac:dyDescent="0.2">
      <c r="A52" s="20" t="s">
        <v>116</v>
      </c>
    </row>
  </sheetData>
  <mergeCells count="1">
    <mergeCell ref="A3:K3"/>
  </mergeCells>
  <phoneticPr fontId="0" type="noConversion"/>
  <pageMargins left="0.36" right="0.11" top="0.45" bottom="0.17" header="0.19" footer="0.17"/>
  <pageSetup scale="9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Table'!B13</f>
        <v>13046034.66</v>
      </c>
      <c r="C9" s="1">
        <f>'Master Expend Table'!C13</f>
        <v>0</v>
      </c>
      <c r="D9" s="1">
        <f>'Master Expend Table'!D13</f>
        <v>178951.6</v>
      </c>
      <c r="E9" s="1">
        <f>'Master Expend Table'!E13</f>
        <v>68901.399999999994</v>
      </c>
      <c r="G9" s="1">
        <f>'Master Expend Table'!G13</f>
        <v>3864556.15</v>
      </c>
      <c r="H9" s="1">
        <f>'Master Expend Table'!H13</f>
        <v>2974602.41</v>
      </c>
      <c r="I9" s="1">
        <f>'Master Expend Table'!I13</f>
        <v>3705320.43</v>
      </c>
      <c r="J9" s="1">
        <f>'Master Expend Table'!J13</f>
        <v>2783719.34</v>
      </c>
      <c r="K9" s="1">
        <f>SUM(B9:J9)</f>
        <v>26622085.989999998</v>
      </c>
    </row>
    <row r="11" spans="1:11" x14ac:dyDescent="0.2">
      <c r="A11" t="s">
        <v>3</v>
      </c>
      <c r="B11" s="1">
        <f>(B9/($K9-$J9))*-$J$11</f>
        <v>1523447.45454078</v>
      </c>
      <c r="C11" s="1">
        <f t="shared" ref="C11:I11" si="0">(C9/($K9-$J9))*-$J$11</f>
        <v>0</v>
      </c>
      <c r="D11" s="1">
        <f t="shared" si="0"/>
        <v>20897.0286076183</v>
      </c>
      <c r="E11" s="1">
        <f t="shared" si="0"/>
        <v>8045.9438580317319</v>
      </c>
      <c r="G11" s="1">
        <f t="shared" si="0"/>
        <v>451282.58379526774</v>
      </c>
      <c r="H11" s="1">
        <f t="shared" si="0"/>
        <v>347358.45702447114</v>
      </c>
      <c r="I11" s="1">
        <f t="shared" si="0"/>
        <v>432687.87217383104</v>
      </c>
      <c r="J11" s="1">
        <f>-J9</f>
        <v>-2783719.34</v>
      </c>
      <c r="K11" s="1">
        <v>0</v>
      </c>
    </row>
    <row r="12" spans="1:11" x14ac:dyDescent="0.2">
      <c r="A12" t="s">
        <v>4</v>
      </c>
      <c r="B12" s="1">
        <f>+B9+B11</f>
        <v>14569482.11454078</v>
      </c>
      <c r="C12" s="1">
        <f t="shared" ref="C12:J12" si="1">+C9+C11</f>
        <v>0</v>
      </c>
      <c r="D12" s="1">
        <f t="shared" si="1"/>
        <v>199848.6286076183</v>
      </c>
      <c r="E12" s="1">
        <f t="shared" si="1"/>
        <v>76947.343858031731</v>
      </c>
      <c r="G12" s="1">
        <f t="shared" si="1"/>
        <v>4315838.7337952675</v>
      </c>
      <c r="H12" s="1">
        <f t="shared" si="1"/>
        <v>3321960.8670244711</v>
      </c>
      <c r="I12" s="1">
        <f t="shared" si="1"/>
        <v>4138008.302173831</v>
      </c>
      <c r="J12" s="1">
        <f t="shared" si="1"/>
        <v>0</v>
      </c>
      <c r="K12" s="1">
        <f>SUM(B12:J12)</f>
        <v>26622085.989999998</v>
      </c>
    </row>
    <row r="14" spans="1:11" x14ac:dyDescent="0.2">
      <c r="A14" t="s">
        <v>5</v>
      </c>
      <c r="B14" s="1">
        <f>B$9/($K$9-$J$9-$I$9)*-I14</f>
        <v>2681392.5296560293</v>
      </c>
      <c r="C14" s="1">
        <f t="shared" ref="C14:H14" si="2">C$9/($K$9-$J$9-$I$9)*-$I$14</f>
        <v>0</v>
      </c>
      <c r="D14" s="1">
        <f t="shared" si="2"/>
        <v>36780.485098756733</v>
      </c>
      <c r="E14" s="1">
        <f t="shared" si="2"/>
        <v>14161.521416871807</v>
      </c>
      <c r="G14" s="1">
        <f t="shared" si="2"/>
        <v>794294.37841507816</v>
      </c>
      <c r="H14" s="1">
        <f t="shared" si="2"/>
        <v>611379.38758709549</v>
      </c>
      <c r="I14" s="1">
        <f>-I12</f>
        <v>-4138008.302173831</v>
      </c>
      <c r="K14" s="1">
        <v>0</v>
      </c>
    </row>
    <row r="15" spans="1:11" x14ac:dyDescent="0.2">
      <c r="A15" t="s">
        <v>4</v>
      </c>
      <c r="B15" s="1">
        <f>+B12+B14</f>
        <v>17250874.644196808</v>
      </c>
      <c r="C15" s="1">
        <f>+C12+C14</f>
        <v>0</v>
      </c>
      <c r="D15" s="1">
        <f>+D12+D14</f>
        <v>236629.11370637504</v>
      </c>
      <c r="E15" s="1">
        <f>+E12+E14</f>
        <v>91108.865274903539</v>
      </c>
      <c r="G15" s="1">
        <f>+G12+G14</f>
        <v>5110133.1122103455</v>
      </c>
      <c r="H15" s="1">
        <f>+H12+H14</f>
        <v>3933340.2546115667</v>
      </c>
      <c r="I15" s="1">
        <f>+I12+I14</f>
        <v>0</v>
      </c>
      <c r="J15" s="1">
        <f>+J12+J14</f>
        <v>0</v>
      </c>
      <c r="K15" s="1">
        <f>SUM(B15:J15)</f>
        <v>26622085.989999998</v>
      </c>
    </row>
    <row r="17" spans="1:11" x14ac:dyDescent="0.2">
      <c r="A17" t="s">
        <v>6</v>
      </c>
      <c r="B17" s="1">
        <f>B$9/($K$9-$J$9-$I$9-$H$9)*-$H$17</f>
        <v>2990626.2980171586</v>
      </c>
      <c r="C17" s="1">
        <f>C$9/($K$9-$J$9-$I$9-$H$9)*-$H$17</f>
        <v>0</v>
      </c>
      <c r="D17" s="1">
        <f>D$9/($K$9-$J$9-$I$9-$H$9)*-$H$17</f>
        <v>41022.224375436956</v>
      </c>
      <c r="E17" s="1">
        <f>E$9/($K$9-$J$9-$I$9-$H$9)*-$H$17</f>
        <v>15794.710360688206</v>
      </c>
      <c r="G17" s="1">
        <f>G$9/($K$9-$J$9-$I$9-$H$9)*-$H$17</f>
        <v>885897.02185828332</v>
      </c>
      <c r="H17" s="1">
        <f>-H15</f>
        <v>-3933340.2546115667</v>
      </c>
      <c r="K17" s="1">
        <v>0</v>
      </c>
    </row>
    <row r="18" spans="1:11" x14ac:dyDescent="0.2">
      <c r="A18" t="s">
        <v>4</v>
      </c>
      <c r="B18" s="1">
        <f>+B15+B17</f>
        <v>20241500.942213967</v>
      </c>
      <c r="C18" s="1">
        <f>+C15+C17</f>
        <v>0</v>
      </c>
      <c r="D18" s="1">
        <f>+D15+D17</f>
        <v>277651.33808181202</v>
      </c>
      <c r="E18" s="1">
        <f>+E15+E17</f>
        <v>106903.57563559174</v>
      </c>
      <c r="G18" s="1">
        <f>+G15+G17</f>
        <v>5996030.1340686288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26622085.990000002</v>
      </c>
    </row>
    <row r="20" spans="1:11" x14ac:dyDescent="0.2">
      <c r="A20" t="s">
        <v>7</v>
      </c>
      <c r="B20" s="1">
        <f>B$9/($K$9-$J$9-$I$9-$H$9-$G$9)*-$G$20</f>
        <v>5884239.3551160628</v>
      </c>
      <c r="C20" s="1">
        <f>C$9/($K$9-$J$9-$I$9-$H$9-$G$9)*-$G$20</f>
        <v>0</v>
      </c>
      <c r="D20" s="1">
        <f>D$9/($K$9-$J$9-$I$9-$H$9-$G$9)*-$G$20</f>
        <v>80713.724501249162</v>
      </c>
      <c r="E20" s="1">
        <f>E$9/($K$9-$J$9-$I$9-$H$9-$G$9)*-$G$20</f>
        <v>31077.054451317385</v>
      </c>
      <c r="G20" s="1">
        <f>-G18</f>
        <v>-5996030.1340686288</v>
      </c>
      <c r="K20" s="1">
        <f>SUM(B20:J20)</f>
        <v>0</v>
      </c>
    </row>
    <row r="22" spans="1:11" x14ac:dyDescent="0.2">
      <c r="A22" t="s">
        <v>8</v>
      </c>
      <c r="B22" s="1">
        <f>+B20+B18</f>
        <v>26125740.297330029</v>
      </c>
      <c r="C22" s="1">
        <f t="shared" ref="C22:K22" si="3">+C20+C18</f>
        <v>0</v>
      </c>
      <c r="D22" s="1">
        <f t="shared" si="3"/>
        <v>358365.06258306117</v>
      </c>
      <c r="E22" s="1">
        <f t="shared" si="3"/>
        <v>137980.63008690914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26622085.990000002</v>
      </c>
    </row>
    <row r="27" spans="1:11" x14ac:dyDescent="0.2">
      <c r="A27" t="s">
        <v>9</v>
      </c>
      <c r="B27" s="1">
        <f>+B9</f>
        <v>13046034.66</v>
      </c>
    </row>
    <row r="28" spans="1:11" x14ac:dyDescent="0.2">
      <c r="A28" t="s">
        <v>10</v>
      </c>
      <c r="B28" s="1">
        <f>+B22-B27</f>
        <v>13079705.637330029</v>
      </c>
    </row>
    <row r="29" spans="1:11" x14ac:dyDescent="0.2">
      <c r="A29" s="35" t="s">
        <v>114</v>
      </c>
      <c r="B29" s="1">
        <v>3206</v>
      </c>
    </row>
    <row r="30" spans="1:11" x14ac:dyDescent="0.2">
      <c r="A30" t="s">
        <v>11</v>
      </c>
      <c r="B30" s="1">
        <f>+B28/B29</f>
        <v>4079.7584645446132</v>
      </c>
    </row>
  </sheetData>
  <phoneticPr fontId="0" type="noConversion"/>
  <pageMargins left="0.46" right="0.55000000000000004" top="1" bottom="0.48" header="0.5" footer="0.5"/>
  <pageSetup orientation="landscape" horizontalDpi="4294967294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30"/>
  <sheetViews>
    <sheetView zoomScale="80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2.140625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Table'!B14</f>
        <v>27468413.920000002</v>
      </c>
      <c r="C9" s="1">
        <f>'Master Expend Table'!C14</f>
        <v>0</v>
      </c>
      <c r="D9" s="1">
        <f>'Master Expend Table'!D14</f>
        <v>2145449.37</v>
      </c>
      <c r="E9" s="1">
        <f>'Master Expend Table'!E14</f>
        <v>0</v>
      </c>
      <c r="G9" s="1">
        <f>'Master Expend Table'!G14</f>
        <v>6650868.8300000001</v>
      </c>
      <c r="H9" s="1">
        <f>'Master Expend Table'!H14</f>
        <v>6545765.7699999996</v>
      </c>
      <c r="I9" s="1">
        <f>'Master Expend Table'!I14</f>
        <v>9389200.1699999999</v>
      </c>
      <c r="J9" s="1">
        <f>'Master Expend Table'!J14</f>
        <v>6033279.75</v>
      </c>
      <c r="K9" s="1">
        <f>SUM(B9:J9)</f>
        <v>58232977.810000002</v>
      </c>
    </row>
    <row r="11" spans="1:11" x14ac:dyDescent="0.2">
      <c r="A11" t="s">
        <v>3</v>
      </c>
      <c r="B11" s="1">
        <f>(B9/($K9-$J9))*-$J$11</f>
        <v>3174819.6182603384</v>
      </c>
      <c r="C11" s="1">
        <f t="shared" ref="C11:I11" si="0">(C9/($K9-$J9))*-$J$11</f>
        <v>0</v>
      </c>
      <c r="D11" s="1">
        <f t="shared" si="0"/>
        <v>247972.62665758911</v>
      </c>
      <c r="E11" s="1">
        <f t="shared" si="0"/>
        <v>0</v>
      </c>
      <c r="G11" s="1">
        <f t="shared" si="0"/>
        <v>768712.34361973603</v>
      </c>
      <c r="H11" s="1">
        <f t="shared" si="0"/>
        <v>756564.45412749867</v>
      </c>
      <c r="I11" s="1">
        <f t="shared" si="0"/>
        <v>1085210.7073348376</v>
      </c>
      <c r="J11" s="1">
        <f>-J9</f>
        <v>-6033279.75</v>
      </c>
      <c r="K11" s="1">
        <v>0</v>
      </c>
    </row>
    <row r="12" spans="1:11" x14ac:dyDescent="0.2">
      <c r="A12" t="s">
        <v>4</v>
      </c>
      <c r="B12" s="1">
        <f>+B9+B11</f>
        <v>30643233.538260341</v>
      </c>
      <c r="C12" s="1">
        <f t="shared" ref="C12:J12" si="1">+C9+C11</f>
        <v>0</v>
      </c>
      <c r="D12" s="1">
        <f t="shared" si="1"/>
        <v>2393421.9966575895</v>
      </c>
      <c r="E12" s="1">
        <f t="shared" si="1"/>
        <v>0</v>
      </c>
      <c r="G12" s="1">
        <f t="shared" si="1"/>
        <v>7419581.173619736</v>
      </c>
      <c r="H12" s="1">
        <f t="shared" si="1"/>
        <v>7302330.2241274985</v>
      </c>
      <c r="I12" s="1">
        <f t="shared" si="1"/>
        <v>10474410.877334837</v>
      </c>
      <c r="J12" s="1">
        <f t="shared" si="1"/>
        <v>0</v>
      </c>
      <c r="K12" s="1">
        <f>SUM(B12:J12)</f>
        <v>58232977.810000002</v>
      </c>
    </row>
    <row r="14" spans="1:11" x14ac:dyDescent="0.2">
      <c r="A14" t="s">
        <v>5</v>
      </c>
      <c r="B14" s="1">
        <f>B$9/($K$9-$J$9-$I$9)*-I14</f>
        <v>6720675.2485350184</v>
      </c>
      <c r="C14" s="1">
        <f t="shared" ref="C14:H14" si="2">C$9/($K$9-$J$9-$I$9)*-$I$14</f>
        <v>0</v>
      </c>
      <c r="D14" s="1">
        <f t="shared" si="2"/>
        <v>524925.41141756799</v>
      </c>
      <c r="E14" s="1">
        <f t="shared" si="2"/>
        <v>0</v>
      </c>
      <c r="G14" s="1">
        <f t="shared" si="2"/>
        <v>1627262.8502401009</v>
      </c>
      <c r="H14" s="1">
        <f t="shared" si="2"/>
        <v>1601547.3671421495</v>
      </c>
      <c r="I14" s="1">
        <f>-I12</f>
        <v>-10474410.877334837</v>
      </c>
      <c r="K14" s="1">
        <v>0</v>
      </c>
    </row>
    <row r="15" spans="1:11" x14ac:dyDescent="0.2">
      <c r="A15" t="s">
        <v>4</v>
      </c>
      <c r="B15" s="1">
        <f>+B12+B14</f>
        <v>37363908.786795363</v>
      </c>
      <c r="C15" s="1">
        <f>+C12+C14</f>
        <v>0</v>
      </c>
      <c r="D15" s="1">
        <f>+D12+D14</f>
        <v>2918347.4080751576</v>
      </c>
      <c r="E15" s="1">
        <f>+E12+E14</f>
        <v>0</v>
      </c>
      <c r="G15" s="1">
        <f>+G12+G14</f>
        <v>9046844.0238598362</v>
      </c>
      <c r="H15" s="1">
        <f>+H12+H14</f>
        <v>8903877.5912696477</v>
      </c>
      <c r="I15" s="1">
        <f>+I12+I14</f>
        <v>0</v>
      </c>
      <c r="J15" s="1">
        <f>+J12+J14</f>
        <v>0</v>
      </c>
      <c r="K15" s="1">
        <f>SUM(B15:J15)</f>
        <v>58232977.810000002</v>
      </c>
    </row>
    <row r="17" spans="1:11" x14ac:dyDescent="0.2">
      <c r="A17" t="s">
        <v>6</v>
      </c>
      <c r="B17" s="1">
        <f>B$9/($K$9-$J$9-$I$9-$H$9)*-$H$17</f>
        <v>6744166.6013334189</v>
      </c>
      <c r="C17" s="1">
        <f>C$9/($K$9-$J$9-$I$9-$H$9)*-$H$17</f>
        <v>0</v>
      </c>
      <c r="D17" s="1">
        <f>D$9/($K$9-$J$9-$I$9-$H$9)*-$H$17</f>
        <v>526760.22824421688</v>
      </c>
      <c r="E17" s="1">
        <f>E$9/($K$9-$J$9-$I$9-$H$9)*-$H$17</f>
        <v>0</v>
      </c>
      <c r="G17" s="1">
        <f>G$9/($K$9-$J$9-$I$9-$H$9)*-$H$17</f>
        <v>1632950.7616920122</v>
      </c>
      <c r="H17" s="1">
        <f>-H15</f>
        <v>-8903877.5912696477</v>
      </c>
      <c r="K17" s="1">
        <v>0</v>
      </c>
    </row>
    <row r="18" spans="1:11" x14ac:dyDescent="0.2">
      <c r="A18" t="s">
        <v>4</v>
      </c>
      <c r="B18" s="1">
        <f>+B15+B17</f>
        <v>44108075.38812878</v>
      </c>
      <c r="C18" s="1">
        <f>+C15+C17</f>
        <v>0</v>
      </c>
      <c r="D18" s="1">
        <f>+D15+D17</f>
        <v>3445107.6363193747</v>
      </c>
      <c r="E18" s="1">
        <f>+E15+E17</f>
        <v>0</v>
      </c>
      <c r="G18" s="1">
        <f>+G15+G17</f>
        <v>10679794.785551848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58232977.810000002</v>
      </c>
    </row>
    <row r="20" spans="1:11" x14ac:dyDescent="0.2">
      <c r="A20" t="s">
        <v>7</v>
      </c>
      <c r="B20" s="1">
        <f>B$9/($K$9-$J$9-$I$9-$H$9-$G$9)*-$G$20</f>
        <v>9906070.7101074681</v>
      </c>
      <c r="C20" s="1">
        <f>C$9/($K$9-$J$9-$I$9-$H$9-$G$9)*-$G$20</f>
        <v>0</v>
      </c>
      <c r="D20" s="1">
        <f>D$9/($K$9-$J$9-$I$9-$H$9-$G$9)*-$G$20</f>
        <v>773724.07544437924</v>
      </c>
      <c r="E20" s="1">
        <f>E$9/($K$9-$J$9-$I$9-$H$9-$G$9)*-$G$20</f>
        <v>0</v>
      </c>
      <c r="G20" s="1">
        <f>-G18</f>
        <v>-10679794.785551848</v>
      </c>
      <c r="K20" s="1">
        <f>SUM(B20:J20)</f>
        <v>0</v>
      </c>
    </row>
    <row r="22" spans="1:11" x14ac:dyDescent="0.2">
      <c r="A22" t="s">
        <v>8</v>
      </c>
      <c r="B22" s="1">
        <f>+B20+B18</f>
        <v>54014146.098236248</v>
      </c>
      <c r="C22" s="1">
        <f t="shared" ref="C22:K22" si="3">+C20+C18</f>
        <v>0</v>
      </c>
      <c r="D22" s="1">
        <f t="shared" si="3"/>
        <v>4218831.7117637536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58232977.810000002</v>
      </c>
    </row>
    <row r="27" spans="1:11" x14ac:dyDescent="0.2">
      <c r="A27" t="s">
        <v>9</v>
      </c>
      <c r="B27" s="1">
        <f>+B9</f>
        <v>27468413.920000002</v>
      </c>
    </row>
    <row r="28" spans="1:11" x14ac:dyDescent="0.2">
      <c r="A28" t="s">
        <v>10</v>
      </c>
      <c r="B28" s="1">
        <f>+B22-B27</f>
        <v>26545732.178236246</v>
      </c>
    </row>
    <row r="29" spans="1:11" x14ac:dyDescent="0.2">
      <c r="A29" s="35" t="s">
        <v>114</v>
      </c>
      <c r="B29" s="1">
        <v>6955</v>
      </c>
    </row>
    <row r="30" spans="1:11" x14ac:dyDescent="0.2">
      <c r="A30" t="s">
        <v>11</v>
      </c>
      <c r="B30" s="1">
        <f>+B28/B29</f>
        <v>3816.7839221044205</v>
      </c>
    </row>
  </sheetData>
  <phoneticPr fontId="0" type="noConversion"/>
  <pageMargins left="0.46" right="0.55000000000000004" top="1" bottom="0.63" header="0.5" footer="0.5"/>
  <pageSetup orientation="landscape" horizontalDpi="4294967294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Table'!B15</f>
        <v>10810624.35</v>
      </c>
      <c r="C9" s="1">
        <f>'Master Expend Table'!C15</f>
        <v>0</v>
      </c>
      <c r="D9" s="1">
        <f>'Master Expend Table'!D15</f>
        <v>1516626.9</v>
      </c>
      <c r="E9" s="1">
        <f>'Master Expend Table'!E15</f>
        <v>300828.93</v>
      </c>
      <c r="G9" s="1">
        <f>'Master Expend Table'!G15</f>
        <v>2768182.5</v>
      </c>
      <c r="H9" s="1">
        <f>'Master Expend Table'!H15</f>
        <v>2322257.35</v>
      </c>
      <c r="I9" s="1">
        <f>'Master Expend Table'!I15</f>
        <v>2883733.92</v>
      </c>
      <c r="J9" s="1">
        <f>'Master Expend Table'!J15</f>
        <v>3480256.4</v>
      </c>
      <c r="K9" s="1">
        <f>SUM(B9:J9)</f>
        <v>24082510.350000001</v>
      </c>
    </row>
    <row r="11" spans="1:11" x14ac:dyDescent="0.2">
      <c r="A11" t="s">
        <v>3</v>
      </c>
      <c r="B11" s="1">
        <f>(B9/($K9-$J9))*-$J$11</f>
        <v>1826195.5547870204</v>
      </c>
      <c r="C11" s="1">
        <f t="shared" ref="C11:I11" si="0">(C9/($K9-$J9))*-$J$11</f>
        <v>0</v>
      </c>
      <c r="D11" s="1">
        <f t="shared" si="0"/>
        <v>256197.7193343527</v>
      </c>
      <c r="E11" s="1">
        <f t="shared" si="0"/>
        <v>50817.828548203666</v>
      </c>
      <c r="G11" s="1">
        <f t="shared" si="0"/>
        <v>467618.00361134752</v>
      </c>
      <c r="H11" s="1">
        <f t="shared" si="0"/>
        <v>392289.65065662336</v>
      </c>
      <c r="I11" s="1">
        <f t="shared" si="0"/>
        <v>487137.64306245174</v>
      </c>
      <c r="J11" s="1">
        <f>-J9</f>
        <v>-3480256.4</v>
      </c>
      <c r="K11" s="1">
        <v>0</v>
      </c>
    </row>
    <row r="12" spans="1:11" x14ac:dyDescent="0.2">
      <c r="A12" t="s">
        <v>4</v>
      </c>
      <c r="B12" s="1">
        <f>+B9+B11</f>
        <v>12636819.904787021</v>
      </c>
      <c r="C12" s="1">
        <f>+C9+C11</f>
        <v>0</v>
      </c>
      <c r="D12" s="1">
        <f>+D9+D11</f>
        <v>1772824.6193343527</v>
      </c>
      <c r="E12" s="1">
        <f>+E9+E11</f>
        <v>351646.75854820368</v>
      </c>
      <c r="G12" s="1">
        <f>+G9+G11</f>
        <v>3235800.5036113476</v>
      </c>
      <c r="H12" s="1">
        <f>+H9+H11</f>
        <v>2714547.0006566234</v>
      </c>
      <c r="I12" s="1">
        <f>+I9+I11</f>
        <v>3370871.5630624518</v>
      </c>
      <c r="J12" s="1">
        <f>+J9+J11</f>
        <v>0</v>
      </c>
      <c r="K12" s="1">
        <f>SUM(B12:J12)</f>
        <v>24082510.350000001</v>
      </c>
    </row>
    <row r="14" spans="1:11" x14ac:dyDescent="0.2">
      <c r="A14" t="s">
        <v>5</v>
      </c>
      <c r="B14" s="1">
        <f>B$9/($K$9-$J$9-$I$9)*-I14</f>
        <v>2056674.3801776485</v>
      </c>
      <c r="C14" s="1">
        <f t="shared" ref="C14:H14" si="1">C$9/($K$9-$J$9-$I$9)*-$I$14</f>
        <v>0</v>
      </c>
      <c r="D14" s="1">
        <f t="shared" si="1"/>
        <v>288531.68776678917</v>
      </c>
      <c r="E14" s="1">
        <f t="shared" si="1"/>
        <v>57231.398771825348</v>
      </c>
      <c r="G14" s="1">
        <f t="shared" si="1"/>
        <v>526634.71073306818</v>
      </c>
      <c r="H14" s="1">
        <f t="shared" si="1"/>
        <v>441799.38561312034</v>
      </c>
      <c r="I14" s="1">
        <f>-I12</f>
        <v>-3370871.5630624518</v>
      </c>
      <c r="K14" s="1">
        <v>0</v>
      </c>
    </row>
    <row r="15" spans="1:11" x14ac:dyDescent="0.2">
      <c r="A15" t="s">
        <v>4</v>
      </c>
      <c r="B15" s="1">
        <f>+B12+B14</f>
        <v>14693494.284964669</v>
      </c>
      <c r="C15" s="1">
        <f>+C12+C14</f>
        <v>0</v>
      </c>
      <c r="D15" s="1">
        <f>+D12+D14</f>
        <v>2061356.3071011419</v>
      </c>
      <c r="E15" s="1">
        <f>+E12+E14</f>
        <v>408878.15732002904</v>
      </c>
      <c r="G15" s="1">
        <f>+G12+G14</f>
        <v>3762435.2143444158</v>
      </c>
      <c r="H15" s="1">
        <f>+H12+H14</f>
        <v>3156346.3862697436</v>
      </c>
      <c r="I15" s="1">
        <f>+I12+I14</f>
        <v>0</v>
      </c>
      <c r="J15" s="1">
        <f>+J12+J14</f>
        <v>0</v>
      </c>
      <c r="K15" s="1">
        <f>SUM(B15:J15)</f>
        <v>24082510.350000001</v>
      </c>
    </row>
    <row r="17" spans="1:11" x14ac:dyDescent="0.2">
      <c r="A17" t="s">
        <v>6</v>
      </c>
      <c r="B17" s="1">
        <f>B$9/($K$9-$J$9-$I$9-$H$9)*-$H$17</f>
        <v>2216257.0105255041</v>
      </c>
      <c r="C17" s="1">
        <f>C$9/($K$9-$J$9-$I$9-$H$9)*-$H$17</f>
        <v>0</v>
      </c>
      <c r="D17" s="1">
        <f>D$9/($K$9-$J$9-$I$9-$H$9)*-$H$17</f>
        <v>310919.60007624933</v>
      </c>
      <c r="E17" s="1">
        <f>E$9/($K$9-$J$9-$I$9-$H$9)*-$H$17</f>
        <v>61672.129517791102</v>
      </c>
      <c r="G17" s="1">
        <f>G$9/($K$9-$J$9-$I$9-$H$9)*-$H$17</f>
        <v>567497.6461501983</v>
      </c>
      <c r="H17" s="1">
        <f>-H15</f>
        <v>-3156346.3862697436</v>
      </c>
      <c r="K17" s="1">
        <v>0</v>
      </c>
    </row>
    <row r="18" spans="1:11" x14ac:dyDescent="0.2">
      <c r="A18" t="s">
        <v>4</v>
      </c>
      <c r="B18" s="1">
        <f>+B15+B17</f>
        <v>16909751.295490175</v>
      </c>
      <c r="C18" s="1">
        <f>+C15+C17</f>
        <v>0</v>
      </c>
      <c r="D18" s="1">
        <f>+D15+D17</f>
        <v>2372275.9071773915</v>
      </c>
      <c r="E18" s="1">
        <f>+E15+E17</f>
        <v>470550.28683782014</v>
      </c>
      <c r="G18" s="1">
        <f>+G15+G17</f>
        <v>4329932.8604946136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24082510.350000001</v>
      </c>
    </row>
    <row r="20" spans="1:11" x14ac:dyDescent="0.2">
      <c r="A20" t="s">
        <v>7</v>
      </c>
      <c r="B20" s="1">
        <f>B$9/($K$9-$J$9-$I$9-$H$9-$G$9)*-$G$20</f>
        <v>3706761.1979264622</v>
      </c>
      <c r="C20" s="1">
        <f>C$9/($K$9-$J$9-$I$9-$H$9-$G$9)*-$G$20</f>
        <v>0</v>
      </c>
      <c r="D20" s="1">
        <f>D$9/($K$9-$J$9-$I$9-$H$9-$G$9)*-$G$20</f>
        <v>520023.04054265807</v>
      </c>
      <c r="E20" s="1">
        <f>E$9/($K$9-$J$9-$I$9-$H$9-$G$9)*-$G$20</f>
        <v>103148.62202549253</v>
      </c>
      <c r="G20" s="1">
        <f>-G18</f>
        <v>-4329932.8604946136</v>
      </c>
      <c r="K20" s="1">
        <f>SUM(B20:J20)</f>
        <v>0</v>
      </c>
    </row>
    <row r="22" spans="1:11" x14ac:dyDescent="0.2">
      <c r="A22" t="s">
        <v>8</v>
      </c>
      <c r="B22" s="1">
        <f>+B20+B18</f>
        <v>20616512.493416637</v>
      </c>
      <c r="C22" s="1">
        <f t="shared" ref="C22:K22" si="2">+C20+C18</f>
        <v>0</v>
      </c>
      <c r="D22" s="1">
        <f t="shared" si="2"/>
        <v>2892298.9477200494</v>
      </c>
      <c r="E22" s="1">
        <f t="shared" si="2"/>
        <v>573698.90886331268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24082510.350000001</v>
      </c>
    </row>
    <row r="27" spans="1:11" x14ac:dyDescent="0.2">
      <c r="A27" t="s">
        <v>9</v>
      </c>
      <c r="B27" s="1">
        <f>+B9</f>
        <v>10810624.35</v>
      </c>
    </row>
    <row r="28" spans="1:11" x14ac:dyDescent="0.2">
      <c r="A28" t="s">
        <v>10</v>
      </c>
      <c r="B28" s="1">
        <f>+B22-B27</f>
        <v>9805888.1434166376</v>
      </c>
    </row>
    <row r="29" spans="1:11" x14ac:dyDescent="0.2">
      <c r="A29" s="35" t="s">
        <v>114</v>
      </c>
      <c r="B29" s="1">
        <v>2235</v>
      </c>
    </row>
    <row r="30" spans="1:11" x14ac:dyDescent="0.2">
      <c r="A30" t="s">
        <v>11</v>
      </c>
      <c r="B30" s="1">
        <f>+B28/B29</f>
        <v>4387.421988105878</v>
      </c>
    </row>
  </sheetData>
  <phoneticPr fontId="0" type="noConversion"/>
  <pageMargins left="0.52" right="0.55000000000000004" top="0.83" bottom="0.56000000000000005" header="0.5" footer="0.5"/>
  <pageSetup orientation="landscape" horizontalDpi="4294967294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Table'!B16</f>
        <v>4350944.03</v>
      </c>
      <c r="C9" s="1">
        <f>'Master Expend Table'!C16</f>
        <v>45699.17</v>
      </c>
      <c r="D9" s="1">
        <f>'Master Expend Table'!D16</f>
        <v>1181.17</v>
      </c>
      <c r="E9" s="1">
        <f>'Master Expend Table'!E16</f>
        <v>0</v>
      </c>
      <c r="G9" s="1">
        <f>'Master Expend Table'!G16</f>
        <v>1664247.62</v>
      </c>
      <c r="H9" s="1">
        <f>'Master Expend Table'!H16</f>
        <v>977204.91</v>
      </c>
      <c r="I9" s="1">
        <f>'Master Expend Table'!I16</f>
        <v>1373090.86</v>
      </c>
      <c r="J9" s="1">
        <f>'Master Expend Table'!J16</f>
        <v>1066306.26</v>
      </c>
      <c r="K9" s="1">
        <f>SUM(B9:J9)</f>
        <v>9478674.0199999996</v>
      </c>
    </row>
    <row r="11" spans="1:11" x14ac:dyDescent="0.2">
      <c r="A11" t="s">
        <v>3</v>
      </c>
      <c r="B11" s="1">
        <f>(B9/($K9-$J9))*-$J$11</f>
        <v>551502.14404067234</v>
      </c>
      <c r="C11" s="1">
        <f t="shared" ref="C11:I11" si="0">(C9/($K9-$J9))*-$J$11</f>
        <v>5792.5797395006184</v>
      </c>
      <c r="D11" s="1">
        <f t="shared" si="0"/>
        <v>149.71872379533252</v>
      </c>
      <c r="E11" s="1">
        <f t="shared" si="0"/>
        <v>0</v>
      </c>
      <c r="G11" s="1">
        <f t="shared" si="0"/>
        <v>210951.03138906299</v>
      </c>
      <c r="H11" s="1">
        <f t="shared" si="0"/>
        <v>123865.21162214818</v>
      </c>
      <c r="I11" s="1">
        <f t="shared" si="0"/>
        <v>174045.57448482065</v>
      </c>
      <c r="J11" s="1">
        <f>-J9</f>
        <v>-1066306.26</v>
      </c>
      <c r="K11" s="1">
        <v>0</v>
      </c>
    </row>
    <row r="12" spans="1:11" x14ac:dyDescent="0.2">
      <c r="A12" t="s">
        <v>4</v>
      </c>
      <c r="B12" s="1">
        <f>+B9+B11</f>
        <v>4902446.1740406724</v>
      </c>
      <c r="C12" s="1">
        <f t="shared" ref="C12:J12" si="1">+C9+C11</f>
        <v>51491.749739500614</v>
      </c>
      <c r="D12" s="1">
        <f t="shared" si="1"/>
        <v>1330.8887237953327</v>
      </c>
      <c r="E12" s="1">
        <f t="shared" si="1"/>
        <v>0</v>
      </c>
      <c r="G12" s="1">
        <f t="shared" si="1"/>
        <v>1875198.6513890631</v>
      </c>
      <c r="H12" s="1">
        <f t="shared" si="1"/>
        <v>1101070.1216221482</v>
      </c>
      <c r="I12" s="1">
        <f t="shared" si="1"/>
        <v>1547136.4344848208</v>
      </c>
      <c r="J12" s="1">
        <f t="shared" si="1"/>
        <v>0</v>
      </c>
      <c r="K12" s="1">
        <f>SUM(B12:J12)</f>
        <v>9478674.0199999996</v>
      </c>
    </row>
    <row r="14" spans="1:11" x14ac:dyDescent="0.2">
      <c r="A14" t="s">
        <v>5</v>
      </c>
      <c r="B14" s="1">
        <f>B$9/($K$9-$J$9-$I$9)*-I14</f>
        <v>956277.77239693725</v>
      </c>
      <c r="C14" s="1">
        <f t="shared" ref="C14:H14" si="2">C$9/($K$9-$J$9-$I$9)*-$I$14</f>
        <v>10044.050253615636</v>
      </c>
      <c r="D14" s="1">
        <f t="shared" si="2"/>
        <v>259.60495208256918</v>
      </c>
      <c r="E14" s="1">
        <f t="shared" si="2"/>
        <v>0</v>
      </c>
      <c r="G14" s="1">
        <f t="shared" si="2"/>
        <v>365778.78175337147</v>
      </c>
      <c r="H14" s="1">
        <f t="shared" si="2"/>
        <v>214776.22512881405</v>
      </c>
      <c r="I14" s="1">
        <f>-I12</f>
        <v>-1547136.4344848208</v>
      </c>
      <c r="K14" s="1">
        <v>0</v>
      </c>
    </row>
    <row r="15" spans="1:11" x14ac:dyDescent="0.2">
      <c r="A15" t="s">
        <v>4</v>
      </c>
      <c r="B15" s="1">
        <f>+B12+B14</f>
        <v>5858723.9464376094</v>
      </c>
      <c r="C15" s="1">
        <f>+C12+C14</f>
        <v>61535.799993116249</v>
      </c>
      <c r="D15" s="1">
        <f>+D12+D14</f>
        <v>1590.4936758779018</v>
      </c>
      <c r="E15" s="1">
        <f>+E12+E14</f>
        <v>0</v>
      </c>
      <c r="G15" s="1">
        <f>+G12+G14</f>
        <v>2240977.4331424348</v>
      </c>
      <c r="H15" s="1">
        <f>+H12+H14</f>
        <v>1315846.3467509623</v>
      </c>
      <c r="I15" s="1">
        <f>+I12+I14</f>
        <v>0</v>
      </c>
      <c r="J15" s="1">
        <f>+J12+J14</f>
        <v>0</v>
      </c>
      <c r="K15" s="1">
        <f>SUM(B15:J15)</f>
        <v>9478674.0200000014</v>
      </c>
    </row>
    <row r="17" spans="1:11" x14ac:dyDescent="0.2">
      <c r="A17" t="s">
        <v>6</v>
      </c>
      <c r="B17" s="1">
        <f>B$9/($K$9-$J$9-$I$9-$H$9)*-$H$17</f>
        <v>944425.24210165488</v>
      </c>
      <c r="C17" s="1">
        <f>C$9/($K$9-$J$9-$I$9-$H$9)*-$H$17</f>
        <v>9919.5598457502292</v>
      </c>
      <c r="D17" s="1">
        <f>D$9/($K$9-$J$9-$I$9-$H$9)*-$H$17</f>
        <v>256.38729331418489</v>
      </c>
      <c r="E17" s="1">
        <f>E$9/($K$9-$J$9-$I$9-$H$9)*-$H$17</f>
        <v>0</v>
      </c>
      <c r="G17" s="1">
        <f>G$9/($K$9-$J$9-$I$9-$H$9)*-$H$17</f>
        <v>361245.15751024336</v>
      </c>
      <c r="H17" s="1">
        <f>-H15</f>
        <v>-1315846.3467509623</v>
      </c>
      <c r="K17" s="1">
        <v>0</v>
      </c>
    </row>
    <row r="18" spans="1:11" x14ac:dyDescent="0.2">
      <c r="A18" t="s">
        <v>4</v>
      </c>
      <c r="B18" s="1">
        <f>+B15+B17</f>
        <v>6803149.1885392647</v>
      </c>
      <c r="C18" s="1">
        <f>+C15+C17</f>
        <v>71455.359838866483</v>
      </c>
      <c r="D18" s="1">
        <f>+D15+D17</f>
        <v>1846.8809691920867</v>
      </c>
      <c r="E18" s="1">
        <f>+E15+E17</f>
        <v>0</v>
      </c>
      <c r="G18" s="1">
        <f>+G15+G17</f>
        <v>2602222.5906526782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9478674.0200000014</v>
      </c>
    </row>
    <row r="20" spans="1:11" x14ac:dyDescent="0.2">
      <c r="A20" t="s">
        <v>7</v>
      </c>
      <c r="B20" s="1">
        <f>B$9/($K$9-$J$9-$I$9-$H$9-$G$9)*-$G$20</f>
        <v>2574483.174627414</v>
      </c>
      <c r="C20" s="1">
        <f>C$9/($K$9-$J$9-$I$9-$H$9-$G$9)*-$G$20</f>
        <v>27040.509702773143</v>
      </c>
      <c r="D20" s="1">
        <f>D$9/($K$9-$J$9-$I$9-$H$9-$G$9)*-$G$20</f>
        <v>698.90632249173348</v>
      </c>
      <c r="E20" s="1">
        <f>E$9/($K$9-$J$9-$I$9-$H$9-$G$9)*-$G$20</f>
        <v>0</v>
      </c>
      <c r="G20" s="1">
        <f>-G18</f>
        <v>-2602222.5906526782</v>
      </c>
      <c r="K20" s="1">
        <f>SUM(B20:J20)</f>
        <v>0</v>
      </c>
    </row>
    <row r="22" spans="1:11" x14ac:dyDescent="0.2">
      <c r="A22" t="s">
        <v>8</v>
      </c>
      <c r="B22" s="1">
        <f>+B20+B18</f>
        <v>9377632.3631666787</v>
      </c>
      <c r="C22" s="1">
        <f t="shared" ref="C22:K22" si="3">+C20+C18</f>
        <v>98495.869541639622</v>
      </c>
      <c r="D22" s="1">
        <f t="shared" si="3"/>
        <v>2545.7872916838201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9478674.0200000014</v>
      </c>
    </row>
    <row r="27" spans="1:11" x14ac:dyDescent="0.2">
      <c r="A27" t="s">
        <v>9</v>
      </c>
      <c r="B27" s="1">
        <f>+B9</f>
        <v>4350944.03</v>
      </c>
    </row>
    <row r="28" spans="1:11" x14ac:dyDescent="0.2">
      <c r="A28" t="s">
        <v>10</v>
      </c>
      <c r="B28" s="1">
        <f>+B22-B27</f>
        <v>5026688.3331666784</v>
      </c>
    </row>
    <row r="29" spans="1:11" x14ac:dyDescent="0.2">
      <c r="A29" s="35" t="s">
        <v>114</v>
      </c>
      <c r="B29" s="1">
        <v>1251</v>
      </c>
    </row>
    <row r="30" spans="1:11" x14ac:dyDescent="0.2">
      <c r="A30" t="s">
        <v>11</v>
      </c>
      <c r="B30" s="1">
        <f>+B28/B29</f>
        <v>4018.1361576072568</v>
      </c>
    </row>
  </sheetData>
  <phoneticPr fontId="0" type="noConversion"/>
  <pageMargins left="0.57999999999999996" right="0.55000000000000004" top="0.9" bottom="0.55000000000000004" header="0.5" footer="0.5"/>
  <pageSetup orientation="landscape" horizontalDpi="4294967294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Table'!B17</f>
        <v>18978079.359999999</v>
      </c>
      <c r="C9" s="1">
        <f>'Master Expend Table'!C17</f>
        <v>0</v>
      </c>
      <c r="D9" s="1">
        <f>'Master Expend Table'!D17</f>
        <v>2840702.95</v>
      </c>
      <c r="E9" s="1">
        <f>'Master Expend Table'!E17</f>
        <v>0</v>
      </c>
      <c r="G9" s="1">
        <f>'Master Expend Table'!G17</f>
        <v>6045242.5800000001</v>
      </c>
      <c r="H9" s="1">
        <f>'Master Expend Table'!H17</f>
        <v>4480412.26</v>
      </c>
      <c r="I9" s="1">
        <f>'Master Expend Table'!I17</f>
        <v>5026817.17</v>
      </c>
      <c r="J9" s="1">
        <f>'Master Expend Table'!J17</f>
        <v>5325733.75</v>
      </c>
      <c r="K9" s="1">
        <f>SUM(B9:J9)</f>
        <v>42696988.07</v>
      </c>
    </row>
    <row r="11" spans="1:11" x14ac:dyDescent="0.2">
      <c r="A11" t="s">
        <v>3</v>
      </c>
      <c r="B11" s="1">
        <f>(B9/($K9-$J9))*-$J$11</f>
        <v>2704543.8960190192</v>
      </c>
      <c r="C11" s="1">
        <f t="shared" ref="C11:I11" si="0">(C9/($K9-$J9))*-$J$11</f>
        <v>0</v>
      </c>
      <c r="D11" s="1">
        <f t="shared" si="0"/>
        <v>404825.25539537641</v>
      </c>
      <c r="E11" s="1">
        <f t="shared" si="0"/>
        <v>0</v>
      </c>
      <c r="G11" s="1">
        <f t="shared" si="0"/>
        <v>861500.45057527185</v>
      </c>
      <c r="H11" s="1">
        <f t="shared" si="0"/>
        <v>638498.31163482799</v>
      </c>
      <c r="I11" s="1">
        <f t="shared" si="0"/>
        <v>716365.8363755045</v>
      </c>
      <c r="J11" s="1">
        <f>-J9</f>
        <v>-5325733.75</v>
      </c>
      <c r="K11" s="1">
        <v>0</v>
      </c>
    </row>
    <row r="12" spans="1:11" x14ac:dyDescent="0.2">
      <c r="A12" t="s">
        <v>4</v>
      </c>
      <c r="B12" s="1">
        <f>+B9+B11</f>
        <v>21682623.256019019</v>
      </c>
      <c r="C12" s="1">
        <f t="shared" ref="C12:J12" si="1">+C9+C11</f>
        <v>0</v>
      </c>
      <c r="D12" s="1">
        <f t="shared" si="1"/>
        <v>3245528.2053953768</v>
      </c>
      <c r="E12" s="1">
        <f t="shared" si="1"/>
        <v>0</v>
      </c>
      <c r="G12" s="1">
        <f t="shared" si="1"/>
        <v>6906743.0305752717</v>
      </c>
      <c r="H12" s="1">
        <f t="shared" si="1"/>
        <v>5118910.5716348281</v>
      </c>
      <c r="I12" s="1">
        <f t="shared" si="1"/>
        <v>5743183.0063755047</v>
      </c>
      <c r="J12" s="1">
        <f t="shared" si="1"/>
        <v>0</v>
      </c>
      <c r="K12" s="1">
        <f>SUM(B12:J12)</f>
        <v>42696988.07</v>
      </c>
    </row>
    <row r="14" spans="1:11" x14ac:dyDescent="0.2">
      <c r="A14" t="s">
        <v>5</v>
      </c>
      <c r="B14" s="1">
        <f>B$9/($K$9-$J$9-$I$9)*-I14</f>
        <v>3369809.2308277413</v>
      </c>
      <c r="C14" s="1">
        <f t="shared" ref="C14:H14" si="2">C$9/($K$9-$J$9-$I$9)*-$I$14</f>
        <v>0</v>
      </c>
      <c r="D14" s="1">
        <f t="shared" si="2"/>
        <v>504404.41529219091</v>
      </c>
      <c r="E14" s="1">
        <f t="shared" si="2"/>
        <v>0</v>
      </c>
      <c r="G14" s="1">
        <f t="shared" si="2"/>
        <v>1073412.8497540918</v>
      </c>
      <c r="H14" s="1">
        <f t="shared" si="2"/>
        <v>795556.51050148113</v>
      </c>
      <c r="I14" s="1">
        <f>-I12</f>
        <v>-5743183.0063755047</v>
      </c>
      <c r="K14" s="1">
        <v>0</v>
      </c>
    </row>
    <row r="15" spans="1:11" x14ac:dyDescent="0.2">
      <c r="A15" t="s">
        <v>4</v>
      </c>
      <c r="B15" s="1">
        <f>+B12+B14</f>
        <v>25052432.48684676</v>
      </c>
      <c r="C15" s="1">
        <f>+C12+C14</f>
        <v>0</v>
      </c>
      <c r="D15" s="1">
        <f>+D12+D14</f>
        <v>3749932.6206875676</v>
      </c>
      <c r="E15" s="1">
        <f>+E12+E14</f>
        <v>0</v>
      </c>
      <c r="G15" s="1">
        <f>+G12+G14</f>
        <v>7980155.880329363</v>
      </c>
      <c r="H15" s="1">
        <f>+H12+H14</f>
        <v>5914467.0821363088</v>
      </c>
      <c r="I15" s="1">
        <f>+I12+I14</f>
        <v>0</v>
      </c>
      <c r="J15" s="1">
        <f>+J12+J14</f>
        <v>0</v>
      </c>
      <c r="K15" s="1">
        <f>SUM(B15:J15)</f>
        <v>42696988.07</v>
      </c>
    </row>
    <row r="17" spans="1:11" x14ac:dyDescent="0.2">
      <c r="A17" t="s">
        <v>6</v>
      </c>
      <c r="B17" s="1">
        <f>B$9/($K$9-$J$9-$I$9-$H$9)*-$H$17</f>
        <v>4028320.6069476954</v>
      </c>
      <c r="C17" s="1">
        <f>C$9/($K$9-$J$9-$I$9-$H$9)*-$H$17</f>
        <v>0</v>
      </c>
      <c r="D17" s="1">
        <f>D$9/($K$9-$J$9-$I$9-$H$9)*-$H$17</f>
        <v>602972.61986484344</v>
      </c>
      <c r="E17" s="1">
        <f>E$9/($K$9-$J$9-$I$9-$H$9)*-$H$17</f>
        <v>0</v>
      </c>
      <c r="G17" s="1">
        <f>G$9/($K$9-$J$9-$I$9-$H$9)*-$H$17</f>
        <v>1283173.8553237694</v>
      </c>
      <c r="H17" s="1">
        <f>-H15</f>
        <v>-5914467.0821363088</v>
      </c>
      <c r="K17" s="1">
        <v>0</v>
      </c>
    </row>
    <row r="18" spans="1:11" x14ac:dyDescent="0.2">
      <c r="A18" t="s">
        <v>4</v>
      </c>
      <c r="B18" s="1">
        <f>+B15+B17</f>
        <v>29080753.093794454</v>
      </c>
      <c r="C18" s="1">
        <f>+C15+C17</f>
        <v>0</v>
      </c>
      <c r="D18" s="1">
        <f>+D15+D17</f>
        <v>4352905.2405524114</v>
      </c>
      <c r="E18" s="1">
        <f>+E15+E17</f>
        <v>0</v>
      </c>
      <c r="G18" s="1">
        <f>+G15+G17</f>
        <v>9263329.7356531322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42696988.069999993</v>
      </c>
    </row>
    <row r="20" spans="1:11" x14ac:dyDescent="0.2">
      <c r="A20" t="s">
        <v>7</v>
      </c>
      <c r="B20" s="1">
        <f>B$9/($K$9-$J$9-$I$9-$H$9-$G$9)*-$G$20</f>
        <v>8057287.7240954032</v>
      </c>
      <c r="C20" s="1">
        <f>C$9/($K$9-$J$9-$I$9-$H$9-$G$9)*-$G$20</f>
        <v>0</v>
      </c>
      <c r="D20" s="1">
        <f>D$9/($K$9-$J$9-$I$9-$H$9-$G$9)*-$G$20</f>
        <v>1206042.0115577281</v>
      </c>
      <c r="E20" s="1">
        <f>E$9/($K$9-$J$9-$I$9-$H$9-$G$9)*-$G$20</f>
        <v>0</v>
      </c>
      <c r="G20" s="1">
        <f>-G18</f>
        <v>-9263329.7356531322</v>
      </c>
      <c r="K20" s="1">
        <f>SUM(B20:J20)</f>
        <v>0</v>
      </c>
    </row>
    <row r="22" spans="1:11" x14ac:dyDescent="0.2">
      <c r="A22" t="s">
        <v>8</v>
      </c>
      <c r="B22" s="1">
        <f>+B20+B18</f>
        <v>37138040.817889854</v>
      </c>
      <c r="C22" s="1">
        <f t="shared" ref="C22:K22" si="3">+C20+C18</f>
        <v>0</v>
      </c>
      <c r="D22" s="1">
        <f t="shared" si="3"/>
        <v>5558947.2521101395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42696988.069999993</v>
      </c>
    </row>
    <row r="27" spans="1:11" x14ac:dyDescent="0.2">
      <c r="A27" t="s">
        <v>9</v>
      </c>
      <c r="B27" s="1">
        <f>+B9</f>
        <v>18978079.359999999</v>
      </c>
    </row>
    <row r="28" spans="1:11" x14ac:dyDescent="0.2">
      <c r="A28" t="s">
        <v>10</v>
      </c>
      <c r="B28" s="1">
        <f>+B22-B27</f>
        <v>18159961.457889855</v>
      </c>
    </row>
    <row r="29" spans="1:11" x14ac:dyDescent="0.2">
      <c r="A29" s="35" t="s">
        <v>114</v>
      </c>
      <c r="B29" s="1">
        <v>4214</v>
      </c>
    </row>
    <row r="30" spans="1:11" x14ac:dyDescent="0.2">
      <c r="A30" t="s">
        <v>11</v>
      </c>
      <c r="B30" s="1">
        <f>+B28/B29</f>
        <v>4309.4355619102644</v>
      </c>
    </row>
  </sheetData>
  <phoneticPr fontId="0" type="noConversion"/>
  <pageMargins left="0.51" right="0.55000000000000004" top="1" bottom="0.56000000000000005" header="0.5" footer="0.5"/>
  <pageSetup orientation="landscape" horizontalDpi="4294967294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0"/>
  <sheetViews>
    <sheetView zoomScale="75" workbookViewId="0">
      <selection activeCell="B29" sqref="B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Table'!B18</f>
        <v>14472278.439999999</v>
      </c>
      <c r="C9" s="1">
        <f>'Master Expend Table'!C18</f>
        <v>0</v>
      </c>
      <c r="D9" s="1">
        <f>'Master Expend Table'!D18</f>
        <v>579368.64</v>
      </c>
      <c r="E9" s="1">
        <f>'Master Expend Table'!E18</f>
        <v>0</v>
      </c>
      <c r="G9" s="1">
        <f>'Master Expend Table'!G18</f>
        <v>4768944.8600000003</v>
      </c>
      <c r="H9" s="1">
        <f>'Master Expend Table'!H18</f>
        <v>3408227.47</v>
      </c>
      <c r="I9" s="1">
        <f>'Master Expend Table'!I18</f>
        <v>5108094.07</v>
      </c>
      <c r="J9" s="1">
        <f>'Master Expend Table'!J18</f>
        <v>3309563.86</v>
      </c>
      <c r="K9" s="1">
        <f>SUM(B9:J9)</f>
        <v>31646477.34</v>
      </c>
    </row>
    <row r="11" spans="1:11" x14ac:dyDescent="0.2">
      <c r="A11" t="s">
        <v>3</v>
      </c>
      <c r="B11" s="1">
        <f>(B9/($K9-$J9))*-$J$11</f>
        <v>1690266.2927875507</v>
      </c>
      <c r="C11" s="1">
        <f t="shared" ref="C11:I11" si="0">(C9/($K9-$J9))*-$J$11</f>
        <v>0</v>
      </c>
      <c r="D11" s="1">
        <f t="shared" si="0"/>
        <v>67666.420830013085</v>
      </c>
      <c r="E11" s="1">
        <f t="shared" si="0"/>
        <v>0</v>
      </c>
      <c r="G11" s="1">
        <f t="shared" si="0"/>
        <v>556981.18181178707</v>
      </c>
      <c r="H11" s="1">
        <f t="shared" si="0"/>
        <v>398058.40072640241</v>
      </c>
      <c r="I11" s="1">
        <f t="shared" si="0"/>
        <v>596591.56384424656</v>
      </c>
      <c r="J11" s="1">
        <f>-J9</f>
        <v>-3309563.86</v>
      </c>
      <c r="K11" s="1">
        <v>0</v>
      </c>
    </row>
    <row r="12" spans="1:11" x14ac:dyDescent="0.2">
      <c r="A12" t="s">
        <v>4</v>
      </c>
      <c r="B12" s="1">
        <f>+B9+B11</f>
        <v>16162544.732787549</v>
      </c>
      <c r="C12" s="1">
        <f t="shared" ref="C12:J12" si="1">+C9+C11</f>
        <v>0</v>
      </c>
      <c r="D12" s="1">
        <f t="shared" si="1"/>
        <v>647035.06083001313</v>
      </c>
      <c r="E12" s="1">
        <f t="shared" si="1"/>
        <v>0</v>
      </c>
      <c r="G12" s="1">
        <f t="shared" si="1"/>
        <v>5325926.0418117875</v>
      </c>
      <c r="H12" s="1">
        <f t="shared" si="1"/>
        <v>3806285.8707264028</v>
      </c>
      <c r="I12" s="1">
        <f t="shared" si="1"/>
        <v>5704685.6338442471</v>
      </c>
      <c r="J12" s="1">
        <f t="shared" si="1"/>
        <v>0</v>
      </c>
      <c r="K12" s="1">
        <f>SUM(B12:J12)</f>
        <v>31646477.339999996</v>
      </c>
    </row>
    <row r="14" spans="1:11" x14ac:dyDescent="0.2">
      <c r="A14" t="s">
        <v>5</v>
      </c>
      <c r="B14" s="1">
        <f>B$9/($K$9-$J$9-$I$9)*-I14</f>
        <v>3554196.9416715107</v>
      </c>
      <c r="C14" s="1">
        <f t="shared" ref="C14:H14" si="2">C$9/($K$9-$J$9-$I$9)*-$I$14</f>
        <v>0</v>
      </c>
      <c r="D14" s="1">
        <f t="shared" si="2"/>
        <v>142285.14583418856</v>
      </c>
      <c r="E14" s="1">
        <f t="shared" si="2"/>
        <v>0</v>
      </c>
      <c r="G14" s="1">
        <f t="shared" si="2"/>
        <v>1171188.718257695</v>
      </c>
      <c r="H14" s="1">
        <f t="shared" si="2"/>
        <v>837014.82808085275</v>
      </c>
      <c r="I14" s="1">
        <f>-I12</f>
        <v>-5704685.6338442471</v>
      </c>
      <c r="K14" s="1">
        <v>0</v>
      </c>
    </row>
    <row r="15" spans="1:11" x14ac:dyDescent="0.2">
      <c r="A15" t="s">
        <v>4</v>
      </c>
      <c r="B15" s="1">
        <f>+B12+B14</f>
        <v>19716741.674459059</v>
      </c>
      <c r="C15" s="1">
        <f>+C12+C14</f>
        <v>0</v>
      </c>
      <c r="D15" s="1">
        <f>+D12+D14</f>
        <v>789320.20666420169</v>
      </c>
      <c r="E15" s="1">
        <f>+E12+E14</f>
        <v>0</v>
      </c>
      <c r="G15" s="1">
        <f>+G12+G14</f>
        <v>6497114.760069482</v>
      </c>
      <c r="H15" s="1">
        <f>+H12+H14</f>
        <v>4643300.6988072554</v>
      </c>
      <c r="I15" s="1">
        <f>+I12+I14</f>
        <v>0</v>
      </c>
      <c r="J15" s="1">
        <f>+J12+J14</f>
        <v>0</v>
      </c>
      <c r="K15" s="1">
        <f>SUM(B15:J15)</f>
        <v>31646477.339999996</v>
      </c>
    </row>
    <row r="17" spans="1:11" x14ac:dyDescent="0.2">
      <c r="A17" t="s">
        <v>6</v>
      </c>
      <c r="B17" s="1">
        <f>B$9/($K$9-$J$9-$I$9-$H$9)*-$H$17</f>
        <v>3390370.0150433127</v>
      </c>
      <c r="C17" s="1">
        <f>C$9/($K$9-$J$9-$I$9-$H$9)*-$H$17</f>
        <v>0</v>
      </c>
      <c r="D17" s="1">
        <f>D$9/($K$9-$J$9-$I$9-$H$9)*-$H$17</f>
        <v>135726.66341765213</v>
      </c>
      <c r="E17" s="1">
        <f>E$9/($K$9-$J$9-$I$9-$H$9)*-$H$17</f>
        <v>0</v>
      </c>
      <c r="G17" s="1">
        <f>G$9/($K$9-$J$9-$I$9-$H$9)*-$H$17</f>
        <v>1117204.02034629</v>
      </c>
      <c r="H17" s="1">
        <f>-H15</f>
        <v>-4643300.6988072554</v>
      </c>
      <c r="K17" s="1">
        <v>0</v>
      </c>
    </row>
    <row r="18" spans="1:11" x14ac:dyDescent="0.2">
      <c r="A18" t="s">
        <v>4</v>
      </c>
      <c r="B18" s="1">
        <f>+B15+B17</f>
        <v>23107111.689502373</v>
      </c>
      <c r="C18" s="1">
        <f>+C15+C17</f>
        <v>0</v>
      </c>
      <c r="D18" s="1">
        <f>+D15+D17</f>
        <v>925046.87008185382</v>
      </c>
      <c r="E18" s="1">
        <f>+E15+E17</f>
        <v>0</v>
      </c>
      <c r="G18" s="1">
        <f>+G15+G17</f>
        <v>7614318.7804157715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31646477.339999996</v>
      </c>
    </row>
    <row r="20" spans="1:11" x14ac:dyDescent="0.2">
      <c r="A20" t="s">
        <v>7</v>
      </c>
      <c r="B20" s="1">
        <f>B$9/($K$9-$J$9-$I$9-$H$9-$G$9)*-$G$20</f>
        <v>7321228.0978553379</v>
      </c>
      <c r="C20" s="1">
        <f>C$9/($K$9-$J$9-$I$9-$H$9-$G$9)*-$G$20</f>
        <v>0</v>
      </c>
      <c r="D20" s="1">
        <f>D$9/($K$9-$J$9-$I$9-$H$9-$G$9)*-$G$20</f>
        <v>293090.6825604327</v>
      </c>
      <c r="E20" s="1">
        <f>E$9/($K$9-$J$9-$I$9-$H$9-$G$9)*-$G$20</f>
        <v>0</v>
      </c>
      <c r="G20" s="1">
        <f>-G18</f>
        <v>-7614318.7804157715</v>
      </c>
      <c r="K20" s="1">
        <f>SUM(B20:J20)</f>
        <v>0</v>
      </c>
    </row>
    <row r="22" spans="1:11" x14ac:dyDescent="0.2">
      <c r="A22" t="s">
        <v>8</v>
      </c>
      <c r="B22" s="1">
        <f>+B20+B18</f>
        <v>30428339.78735771</v>
      </c>
      <c r="C22" s="1">
        <f t="shared" ref="C22:K22" si="3">+C20+C18</f>
        <v>0</v>
      </c>
      <c r="D22" s="1">
        <f t="shared" si="3"/>
        <v>1218137.5526422865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31646477.339999996</v>
      </c>
    </row>
    <row r="27" spans="1:11" x14ac:dyDescent="0.2">
      <c r="A27" t="s">
        <v>9</v>
      </c>
      <c r="B27" s="1">
        <f>+B9</f>
        <v>14472278.439999999</v>
      </c>
    </row>
    <row r="28" spans="1:11" x14ac:dyDescent="0.2">
      <c r="A28" t="s">
        <v>10</v>
      </c>
      <c r="B28" s="1">
        <f>+B22-B27</f>
        <v>15956061.347357711</v>
      </c>
    </row>
    <row r="29" spans="1:11" x14ac:dyDescent="0.2">
      <c r="A29" s="35" t="s">
        <v>114</v>
      </c>
      <c r="B29" s="1">
        <v>3944</v>
      </c>
    </row>
    <row r="30" spans="1:11" x14ac:dyDescent="0.2">
      <c r="A30" t="s">
        <v>11</v>
      </c>
      <c r="B30" s="1">
        <f>+B28/B29</f>
        <v>4045.6544998371478</v>
      </c>
    </row>
  </sheetData>
  <phoneticPr fontId="0" type="noConversion"/>
  <pageMargins left="0.42" right="0.55000000000000004" top="1" bottom="0.57999999999999996" header="0.5" footer="0.5"/>
  <pageSetup orientation="landscape" horizontalDpi="4294967294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30"/>
  <sheetViews>
    <sheetView zoomScale="75" workbookViewId="0">
      <selection activeCell="B29" sqref="B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Table'!B19</f>
        <v>16996805.32</v>
      </c>
      <c r="C9" s="1">
        <f>'Master Expend Table'!C19</f>
        <v>265138.34999999998</v>
      </c>
      <c r="D9" s="1">
        <f>'Master Expend Table'!D19</f>
        <v>1838268.44</v>
      </c>
      <c r="E9" s="1">
        <f>'Master Expend Table'!E19</f>
        <v>0</v>
      </c>
      <c r="G9" s="1">
        <f>'Master Expend Table'!G19</f>
        <v>2807991.91</v>
      </c>
      <c r="H9" s="1">
        <f>'Master Expend Table'!H19</f>
        <v>2494322.65</v>
      </c>
      <c r="I9" s="1">
        <f>'Master Expend Table'!I19</f>
        <v>4026937.1</v>
      </c>
      <c r="J9" s="1">
        <f>'Master Expend Table'!J19</f>
        <v>5242989.62</v>
      </c>
      <c r="K9" s="1">
        <f>SUM(B9:J9)</f>
        <v>33672453.390000001</v>
      </c>
    </row>
    <row r="11" spans="1:11" x14ac:dyDescent="0.2">
      <c r="A11" t="s">
        <v>3</v>
      </c>
      <c r="B11" s="1">
        <f>(B9/($K9-$J9))*-$J$11</f>
        <v>3134567.5242724</v>
      </c>
      <c r="C11" s="1">
        <f t="shared" ref="C11:I11" si="0">(C9/($K9-$J9))*-$J$11</f>
        <v>48897.074815067012</v>
      </c>
      <c r="D11" s="1">
        <f t="shared" si="0"/>
        <v>339015.27048371738</v>
      </c>
      <c r="E11" s="1">
        <f t="shared" si="0"/>
        <v>0</v>
      </c>
      <c r="G11" s="1">
        <f t="shared" si="0"/>
        <v>517852.6248781925</v>
      </c>
      <c r="H11" s="1">
        <f t="shared" si="0"/>
        <v>460005.43199415022</v>
      </c>
      <c r="I11" s="1">
        <f t="shared" si="0"/>
        <v>742651.69355647347</v>
      </c>
      <c r="J11" s="1">
        <f>-J9</f>
        <v>-5242989.62</v>
      </c>
      <c r="K11" s="1">
        <v>0</v>
      </c>
    </row>
    <row r="12" spans="1:11" x14ac:dyDescent="0.2">
      <c r="A12" t="s">
        <v>4</v>
      </c>
      <c r="B12" s="1">
        <f>+B9+B11</f>
        <v>20131372.844272401</v>
      </c>
      <c r="C12" s="1">
        <f t="shared" ref="C12:J12" si="1">+C9+C11</f>
        <v>314035.42481506697</v>
      </c>
      <c r="D12" s="1">
        <f t="shared" si="1"/>
        <v>2177283.7104837173</v>
      </c>
      <c r="E12" s="1">
        <f t="shared" si="1"/>
        <v>0</v>
      </c>
      <c r="G12" s="1">
        <f t="shared" si="1"/>
        <v>3325844.5348781925</v>
      </c>
      <c r="H12" s="1">
        <f t="shared" si="1"/>
        <v>2954328.0819941503</v>
      </c>
      <c r="I12" s="1">
        <f t="shared" si="1"/>
        <v>4769588.7935564732</v>
      </c>
      <c r="J12" s="1">
        <f t="shared" si="1"/>
        <v>0</v>
      </c>
      <c r="K12" s="1">
        <f>SUM(B12:J12)</f>
        <v>33672453.390000001</v>
      </c>
    </row>
    <row r="14" spans="1:11" x14ac:dyDescent="0.2">
      <c r="A14" t="s">
        <v>5</v>
      </c>
      <c r="B14" s="1">
        <f>B$9/($K$9-$J$9-$I$9)*-I14</f>
        <v>3322105.6686804574</v>
      </c>
      <c r="C14" s="1">
        <f t="shared" ref="C14:H14" si="2">C$9/($K$9-$J$9-$I$9)*-$I$14</f>
        <v>51822.539526479864</v>
      </c>
      <c r="D14" s="1">
        <f t="shared" si="2"/>
        <v>359298.22634930204</v>
      </c>
      <c r="E14" s="1">
        <f t="shared" si="2"/>
        <v>0</v>
      </c>
      <c r="G14" s="1">
        <f t="shared" si="2"/>
        <v>548835.24675329193</v>
      </c>
      <c r="H14" s="1">
        <f t="shared" si="2"/>
        <v>487527.11224694201</v>
      </c>
      <c r="I14" s="1">
        <f>-I12</f>
        <v>-4769588.7935564732</v>
      </c>
      <c r="K14" s="1">
        <v>0</v>
      </c>
    </row>
    <row r="15" spans="1:11" x14ac:dyDescent="0.2">
      <c r="A15" t="s">
        <v>4</v>
      </c>
      <c r="B15" s="1">
        <f>+B12+B14</f>
        <v>23453478.512952857</v>
      </c>
      <c r="C15" s="1">
        <f>+C12+C14</f>
        <v>365857.96434154682</v>
      </c>
      <c r="D15" s="1">
        <f>+D12+D14</f>
        <v>2536581.9368330194</v>
      </c>
      <c r="E15" s="1">
        <f>+E12+E14</f>
        <v>0</v>
      </c>
      <c r="G15" s="1">
        <f>+G12+G14</f>
        <v>3874679.7816314846</v>
      </c>
      <c r="H15" s="1">
        <f>+H12+H14</f>
        <v>3441855.1942410925</v>
      </c>
      <c r="I15" s="1">
        <f>+I12+I14</f>
        <v>0</v>
      </c>
      <c r="J15" s="1">
        <f>+J12+J14</f>
        <v>0</v>
      </c>
      <c r="K15" s="1">
        <f>SUM(B15:J15)</f>
        <v>33672453.390000001</v>
      </c>
    </row>
    <row r="17" spans="1:11" x14ac:dyDescent="0.2">
      <c r="A17" t="s">
        <v>6</v>
      </c>
      <c r="B17" s="1">
        <f>B$9/($K$9-$J$9-$I$9-$H$9)*-$H$17</f>
        <v>2670257.3439037492</v>
      </c>
      <c r="C17" s="1">
        <f>C$9/($K$9-$J$9-$I$9-$H$9)*-$H$17</f>
        <v>41654.158702690991</v>
      </c>
      <c r="D17" s="1">
        <f>D$9/($K$9-$J$9-$I$9-$H$9)*-$H$17</f>
        <v>288798.37766927417</v>
      </c>
      <c r="E17" s="1">
        <f>E$9/($K$9-$J$9-$I$9-$H$9)*-$H$17</f>
        <v>0</v>
      </c>
      <c r="G17" s="1">
        <f>G$9/($K$9-$J$9-$I$9-$H$9)*-$H$17</f>
        <v>441145.3139653785</v>
      </c>
      <c r="H17" s="1">
        <f>-H15</f>
        <v>-3441855.1942410925</v>
      </c>
      <c r="K17" s="1">
        <v>0</v>
      </c>
    </row>
    <row r="18" spans="1:11" x14ac:dyDescent="0.2">
      <c r="A18" t="s">
        <v>4</v>
      </c>
      <c r="B18" s="1">
        <f>+B15+B17</f>
        <v>26123735.856856607</v>
      </c>
      <c r="C18" s="1">
        <f>+C15+C17</f>
        <v>407512.12304423779</v>
      </c>
      <c r="D18" s="1">
        <f>+D15+D17</f>
        <v>2825380.3145022937</v>
      </c>
      <c r="E18" s="1">
        <f>+E15+E17</f>
        <v>0</v>
      </c>
      <c r="G18" s="1">
        <f>+G15+G17</f>
        <v>4315825.095596863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33672453.390000001</v>
      </c>
    </row>
    <row r="20" spans="1:11" x14ac:dyDescent="0.2">
      <c r="A20" t="s">
        <v>7</v>
      </c>
      <c r="B20" s="1">
        <f>B$9/($K$9-$J$9-$I$9-$H$9-$G$9)*-$G$20</f>
        <v>3840545.7762756892</v>
      </c>
      <c r="C20" s="1">
        <f>C$9/($K$9-$J$9-$I$9-$H$9-$G$9)*-$G$20</f>
        <v>59909.844882614991</v>
      </c>
      <c r="D20" s="1">
        <f>D$9/($K$9-$J$9-$I$9-$H$9-$G$9)*-$G$20</f>
        <v>415369.4744385588</v>
      </c>
      <c r="E20" s="1">
        <f>E$9/($K$9-$J$9-$I$9-$H$9-$G$9)*-$G$20</f>
        <v>0</v>
      </c>
      <c r="G20" s="1">
        <f>-G18</f>
        <v>-4315825.095596863</v>
      </c>
      <c r="K20" s="1">
        <f>SUM(B20:J20)</f>
        <v>0</v>
      </c>
    </row>
    <row r="22" spans="1:11" x14ac:dyDescent="0.2">
      <c r="A22" t="s">
        <v>8</v>
      </c>
      <c r="B22" s="1">
        <f>+B20+B18</f>
        <v>29964281.633132298</v>
      </c>
      <c r="C22" s="1">
        <f t="shared" ref="C22:K22" si="3">+C20+C18</f>
        <v>467421.96792685275</v>
      </c>
      <c r="D22" s="1">
        <f t="shared" si="3"/>
        <v>3240749.7889408525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33672453.390000001</v>
      </c>
    </row>
    <row r="27" spans="1:11" x14ac:dyDescent="0.2">
      <c r="A27" t="s">
        <v>9</v>
      </c>
      <c r="B27" s="1">
        <f>+B9</f>
        <v>16996805.32</v>
      </c>
    </row>
    <row r="28" spans="1:11" x14ac:dyDescent="0.2">
      <c r="A28" t="s">
        <v>10</v>
      </c>
      <c r="B28" s="1">
        <f>+B22-B27</f>
        <v>12967476.313132297</v>
      </c>
    </row>
    <row r="29" spans="1:11" x14ac:dyDescent="0.2">
      <c r="A29" s="35" t="s">
        <v>114</v>
      </c>
      <c r="B29" s="1">
        <v>3603</v>
      </c>
    </row>
    <row r="30" spans="1:11" x14ac:dyDescent="0.2">
      <c r="A30" t="s">
        <v>11</v>
      </c>
      <c r="B30" s="1">
        <f>+B28/B29</f>
        <v>3599.0775223792111</v>
      </c>
    </row>
  </sheetData>
  <phoneticPr fontId="0" type="noConversion"/>
  <pageMargins left="0.49" right="0.55000000000000004" top="1" bottom="0.51" header="0.5" footer="0.5"/>
  <pageSetup orientation="landscape" horizontalDpi="4294967294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30"/>
  <sheetViews>
    <sheetView topLeftCell="A13"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10" width="10.28515625" style="1" customWidth="1"/>
    <col min="11" max="11" width="13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86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Table'!B20</f>
        <v>24409287.100000001</v>
      </c>
      <c r="C9" s="1">
        <f>'Master Expend Table'!C20</f>
        <v>309446.21000000002</v>
      </c>
      <c r="D9" s="1">
        <f>'Master Expend Table'!D20</f>
        <v>42659.63</v>
      </c>
      <c r="E9" s="1">
        <f>'Master Expend Table'!E20</f>
        <v>0</v>
      </c>
      <c r="G9" s="1">
        <f>'Master Expend Table'!G20</f>
        <v>19072320.539999999</v>
      </c>
      <c r="H9" s="1">
        <f>'Master Expend Table'!H20</f>
        <v>5479349.71</v>
      </c>
      <c r="I9" s="1">
        <f>'Master Expend Table'!I20</f>
        <v>11292866.949999999</v>
      </c>
      <c r="J9" s="1">
        <f>'Master Expend Table'!J20</f>
        <v>7540803.5899999999</v>
      </c>
      <c r="K9" s="1">
        <f>SUM(B9:J9)</f>
        <v>68146733.730000004</v>
      </c>
    </row>
    <row r="11" spans="1:11" x14ac:dyDescent="0.2">
      <c r="A11" t="s">
        <v>3</v>
      </c>
      <c r="B11" s="1">
        <f>(B9/($K9-$J9))*-$J$11</f>
        <v>3037089.5944972406</v>
      </c>
      <c r="C11" s="1">
        <f t="shared" ref="C11:I11" si="0">(C9/($K9-$J9))*-$J$11</f>
        <v>38502.388889825786</v>
      </c>
      <c r="D11" s="1">
        <f t="shared" si="0"/>
        <v>5307.8616285398311</v>
      </c>
      <c r="E11" s="1">
        <f t="shared" si="0"/>
        <v>0</v>
      </c>
      <c r="G11" s="1">
        <f t="shared" si="0"/>
        <v>2373045.3911925182</v>
      </c>
      <c r="H11" s="1">
        <f t="shared" si="0"/>
        <v>681760.01702452311</v>
      </c>
      <c r="I11" s="1">
        <f t="shared" si="0"/>
        <v>1405098.3367673522</v>
      </c>
      <c r="J11" s="1">
        <f>-J9</f>
        <v>-7540803.5899999999</v>
      </c>
      <c r="K11" s="1">
        <v>0</v>
      </c>
    </row>
    <row r="12" spans="1:11" x14ac:dyDescent="0.2">
      <c r="A12" t="s">
        <v>4</v>
      </c>
      <c r="B12" s="1">
        <f>+B9+B11</f>
        <v>27446376.694497243</v>
      </c>
      <c r="C12" s="1">
        <f t="shared" ref="C12:J12" si="1">+C9+C11</f>
        <v>347948.59888982581</v>
      </c>
      <c r="D12" s="1">
        <f t="shared" si="1"/>
        <v>47967.491628539829</v>
      </c>
      <c r="E12" s="1">
        <f t="shared" si="1"/>
        <v>0</v>
      </c>
      <c r="G12" s="1">
        <f t="shared" si="1"/>
        <v>21445365.931192517</v>
      </c>
      <c r="H12" s="1">
        <f t="shared" si="1"/>
        <v>6161109.7270245235</v>
      </c>
      <c r="I12" s="1">
        <f t="shared" si="1"/>
        <v>12697965.286767352</v>
      </c>
      <c r="J12" s="1">
        <f t="shared" si="1"/>
        <v>0</v>
      </c>
      <c r="K12" s="1">
        <f>SUM(B12:J12)</f>
        <v>68146733.730000004</v>
      </c>
    </row>
    <row r="14" spans="1:11" x14ac:dyDescent="0.2">
      <c r="A14" t="s">
        <v>5</v>
      </c>
      <c r="B14" s="1">
        <f>B$9/($K$9-$J$9-$I$9)*-I14</f>
        <v>6285317.9303895151</v>
      </c>
      <c r="C14" s="1">
        <f t="shared" ref="C14:H14" si="2">C$9/($K$9-$J$9-$I$9)*-$I$14</f>
        <v>79681.467313483285</v>
      </c>
      <c r="D14" s="1">
        <f t="shared" si="2"/>
        <v>10984.726274237744</v>
      </c>
      <c r="E14" s="1">
        <f t="shared" si="2"/>
        <v>0</v>
      </c>
      <c r="G14" s="1">
        <f t="shared" si="2"/>
        <v>4911065.1111231446</v>
      </c>
      <c r="H14" s="1">
        <f t="shared" si="2"/>
        <v>1410916.0516669734</v>
      </c>
      <c r="I14" s="1">
        <f>-I12</f>
        <v>-12697965.286767352</v>
      </c>
      <c r="K14" s="1">
        <v>0</v>
      </c>
    </row>
    <row r="15" spans="1:11" x14ac:dyDescent="0.2">
      <c r="A15" t="s">
        <v>4</v>
      </c>
      <c r="B15" s="1">
        <f>+B12+B14</f>
        <v>33731694.624886759</v>
      </c>
      <c r="C15" s="1">
        <f>+C12+C14</f>
        <v>427630.06620330911</v>
      </c>
      <c r="D15" s="1">
        <f>+D12+D14</f>
        <v>58952.217902777571</v>
      </c>
      <c r="E15" s="1">
        <f>+E12+E14</f>
        <v>0</v>
      </c>
      <c r="G15" s="1">
        <f>+G12+G14</f>
        <v>26356431.042315662</v>
      </c>
      <c r="H15" s="1">
        <f>+H12+H14</f>
        <v>7572025.7786914967</v>
      </c>
      <c r="I15" s="1">
        <f>+I12+I14</f>
        <v>0</v>
      </c>
      <c r="J15" s="1">
        <f>+J12+J14</f>
        <v>0</v>
      </c>
      <c r="K15" s="1">
        <f>SUM(B15:J15)</f>
        <v>68146733.730000004</v>
      </c>
    </row>
    <row r="17" spans="1:11" x14ac:dyDescent="0.2">
      <c r="A17" t="s">
        <v>6</v>
      </c>
      <c r="B17" s="1">
        <f>B$9/($K$9-$J$9-$I$9-$H$9)*-$H$17</f>
        <v>4216566.1197063113</v>
      </c>
      <c r="C17" s="1">
        <f>C$9/($K$9-$J$9-$I$9-$H$9)*-$H$17</f>
        <v>53455.080421317361</v>
      </c>
      <c r="D17" s="1">
        <f>D$9/($K$9-$J$9-$I$9-$H$9)*-$H$17</f>
        <v>7369.2095062131875</v>
      </c>
      <c r="E17" s="1">
        <f>E$9/($K$9-$J$9-$I$9-$H$9)*-$H$17</f>
        <v>0</v>
      </c>
      <c r="G17" s="1">
        <f>G$9/($K$9-$J$9-$I$9-$H$9)*-$H$17</f>
        <v>3294635.3690576553</v>
      </c>
      <c r="H17" s="1">
        <f>-H15</f>
        <v>-7572025.7786914967</v>
      </c>
      <c r="K17" s="1">
        <v>0</v>
      </c>
    </row>
    <row r="18" spans="1:11" x14ac:dyDescent="0.2">
      <c r="A18" t="s">
        <v>4</v>
      </c>
      <c r="B18" s="1">
        <f>+B15+B17</f>
        <v>37948260.744593069</v>
      </c>
      <c r="C18" s="1">
        <f>+C15+C17</f>
        <v>481085.14662462648</v>
      </c>
      <c r="D18" s="1">
        <f>+D15+D17</f>
        <v>66321.427408990756</v>
      </c>
      <c r="E18" s="1">
        <f>+E15+E17</f>
        <v>0</v>
      </c>
      <c r="G18" s="1">
        <f>+G15+G17</f>
        <v>29651066.411373317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68146733.730000004</v>
      </c>
    </row>
    <row r="20" spans="1:11" x14ac:dyDescent="0.2">
      <c r="A20" t="s">
        <v>7</v>
      </c>
      <c r="B20" s="1">
        <f>B$9/($K$9-$J$9-$I$9-$H$9-$G$9)*-$G$20</f>
        <v>29229429.645179652</v>
      </c>
      <c r="C20" s="1">
        <f>C$9/($K$9-$J$9-$I$9-$H$9-$G$9)*-$G$20</f>
        <v>370553.06806410121</v>
      </c>
      <c r="D20" s="1">
        <f>D$9/($K$9-$J$9-$I$9-$H$9-$G$9)*-$G$20</f>
        <v>51083.698129569508</v>
      </c>
      <c r="E20" s="1">
        <f>E$9/($K$9-$J$9-$I$9-$H$9-$G$9)*-$G$20</f>
        <v>0</v>
      </c>
      <c r="G20" s="1">
        <f>-G18</f>
        <v>-29651066.411373317</v>
      </c>
      <c r="K20" s="1">
        <f>SUM(B20:J20)</f>
        <v>0</v>
      </c>
    </row>
    <row r="22" spans="1:11" x14ac:dyDescent="0.2">
      <c r="A22" t="s">
        <v>8</v>
      </c>
      <c r="B22" s="1">
        <f>+B20+B18</f>
        <v>67177690.389772713</v>
      </c>
      <c r="C22" s="1">
        <f t="shared" ref="C22:K22" si="3">+C20+C18</f>
        <v>851638.21468872763</v>
      </c>
      <c r="D22" s="1">
        <f t="shared" si="3"/>
        <v>117405.12553856027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68146733.730000004</v>
      </c>
    </row>
    <row r="27" spans="1:11" x14ac:dyDescent="0.2">
      <c r="A27" t="s">
        <v>9</v>
      </c>
      <c r="B27" s="1">
        <f>+B9</f>
        <v>24409287.100000001</v>
      </c>
    </row>
    <row r="28" spans="1:11" x14ac:dyDescent="0.2">
      <c r="A28" t="s">
        <v>10</v>
      </c>
      <c r="B28" s="1">
        <f>+B22-B27</f>
        <v>42768403.289772712</v>
      </c>
    </row>
    <row r="29" spans="1:11" x14ac:dyDescent="0.2">
      <c r="A29" s="35" t="s">
        <v>114</v>
      </c>
      <c r="B29" s="1">
        <v>6192</v>
      </c>
    </row>
    <row r="30" spans="1:11" x14ac:dyDescent="0.2">
      <c r="A30" t="s">
        <v>11</v>
      </c>
      <c r="B30" s="1">
        <f>+B28/B29</f>
        <v>6907.0418749632936</v>
      </c>
    </row>
  </sheetData>
  <phoneticPr fontId="0" type="noConversion"/>
  <pageMargins left="0.63" right="0.55000000000000004" top="1" bottom="0.55000000000000004" header="0.5" footer="0.5"/>
  <pageSetup scale="97" orientation="landscape" horizontalDpi="4294967294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0"/>
  <sheetViews>
    <sheetView zoomScale="75" workbookViewId="0">
      <selection activeCell="B29" sqref="B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Table'!B21</f>
        <v>24929032.440000001</v>
      </c>
      <c r="C9" s="1">
        <f>'Master Expend Table'!C21</f>
        <v>0</v>
      </c>
      <c r="D9" s="1">
        <f>'Master Expend Table'!D21</f>
        <v>1373813.99</v>
      </c>
      <c r="E9" s="1">
        <f>'Master Expend Table'!E21</f>
        <v>0</v>
      </c>
      <c r="G9" s="1">
        <f>'Master Expend Table'!G21</f>
        <v>6783359.2300000004</v>
      </c>
      <c r="H9" s="1">
        <f>'Master Expend Table'!H21</f>
        <v>6756875.0199999996</v>
      </c>
      <c r="I9" s="1">
        <f>'Master Expend Table'!I21</f>
        <v>7618483.5099999979</v>
      </c>
      <c r="J9" s="1">
        <f>'Master Expend Table'!J21</f>
        <v>6536083.9299999997</v>
      </c>
      <c r="K9" s="1">
        <f>SUM(B9:J9)</f>
        <v>53997648.119999997</v>
      </c>
    </row>
    <row r="11" spans="1:11" x14ac:dyDescent="0.2">
      <c r="A11" t="s">
        <v>3</v>
      </c>
      <c r="B11" s="1">
        <f>(B9/($K9-$J9))*-$J$11</f>
        <v>3433056.8556327368</v>
      </c>
      <c r="C11" s="1">
        <f t="shared" ref="C11:I11" si="0">(C9/($K9-$J9))*-$J$11</f>
        <v>0</v>
      </c>
      <c r="D11" s="1">
        <f t="shared" si="0"/>
        <v>189192.32216834743</v>
      </c>
      <c r="E11" s="1">
        <f t="shared" si="0"/>
        <v>0</v>
      </c>
      <c r="G11" s="1">
        <f t="shared" si="0"/>
        <v>934158.11322884634</v>
      </c>
      <c r="H11" s="1">
        <f t="shared" si="0"/>
        <v>930510.88789327198</v>
      </c>
      <c r="I11" s="1">
        <f t="shared" si="0"/>
        <v>1049165.7510767975</v>
      </c>
      <c r="J11" s="1">
        <f>-J9</f>
        <v>-6536083.9299999997</v>
      </c>
      <c r="K11" s="1">
        <v>0</v>
      </c>
    </row>
    <row r="12" spans="1:11" x14ac:dyDescent="0.2">
      <c r="A12" t="s">
        <v>4</v>
      </c>
      <c r="B12" s="1">
        <f>+B9+B11</f>
        <v>28362089.295632739</v>
      </c>
      <c r="C12" s="1">
        <f t="shared" ref="C12:J12" si="1">+C9+C11</f>
        <v>0</v>
      </c>
      <c r="D12" s="1">
        <f t="shared" si="1"/>
        <v>1563006.3121683474</v>
      </c>
      <c r="E12" s="1">
        <f t="shared" si="1"/>
        <v>0</v>
      </c>
      <c r="G12" s="1">
        <f t="shared" si="1"/>
        <v>7717517.3432288468</v>
      </c>
      <c r="H12" s="1">
        <f t="shared" si="1"/>
        <v>7687385.9078932712</v>
      </c>
      <c r="I12" s="1">
        <f t="shared" si="1"/>
        <v>8667649.2610767949</v>
      </c>
      <c r="J12" s="1">
        <f t="shared" si="1"/>
        <v>0</v>
      </c>
      <c r="K12" s="1">
        <f>SUM(B12:J12)</f>
        <v>53997648.119999997</v>
      </c>
    </row>
    <row r="14" spans="1:11" x14ac:dyDescent="0.2">
      <c r="A14" t="s">
        <v>5</v>
      </c>
      <c r="B14" s="1">
        <f>B$9/($K$9-$J$9-$I$9)*-I14</f>
        <v>5423177.7744131377</v>
      </c>
      <c r="C14" s="1">
        <f t="shared" ref="C14:H14" si="2">C$9/($K$9-$J$9-$I$9)*-$I$14</f>
        <v>0</v>
      </c>
      <c r="D14" s="1">
        <f t="shared" si="2"/>
        <v>298865.89119243936</v>
      </c>
      <c r="E14" s="1">
        <f t="shared" si="2"/>
        <v>0</v>
      </c>
      <c r="G14" s="1">
        <f t="shared" si="2"/>
        <v>1475683.5469060915</v>
      </c>
      <c r="H14" s="1">
        <f t="shared" si="2"/>
        <v>1469922.0485651274</v>
      </c>
      <c r="I14" s="1">
        <f>-I12</f>
        <v>-8667649.2610767949</v>
      </c>
      <c r="K14" s="1">
        <v>0</v>
      </c>
    </row>
    <row r="15" spans="1:11" x14ac:dyDescent="0.2">
      <c r="A15" t="s">
        <v>4</v>
      </c>
      <c r="B15" s="1">
        <f>+B12+B14</f>
        <v>33785267.070045874</v>
      </c>
      <c r="C15" s="1">
        <f>+C12+C14</f>
        <v>0</v>
      </c>
      <c r="D15" s="1">
        <f>+D12+D14</f>
        <v>1861872.2033607867</v>
      </c>
      <c r="E15" s="1">
        <f>+E12+E14</f>
        <v>0</v>
      </c>
      <c r="G15" s="1">
        <f>+G12+G14</f>
        <v>9193200.8901349381</v>
      </c>
      <c r="H15" s="1">
        <f>+H12+H14</f>
        <v>9157307.9564583991</v>
      </c>
      <c r="I15" s="1">
        <f>+I12+I14</f>
        <v>0</v>
      </c>
      <c r="J15" s="1">
        <f>+J12+J14</f>
        <v>0</v>
      </c>
      <c r="K15" s="1">
        <f>SUM(B15:J15)</f>
        <v>53997648.119999997</v>
      </c>
    </row>
    <row r="17" spans="1:11" x14ac:dyDescent="0.2">
      <c r="A17" t="s">
        <v>6</v>
      </c>
      <c r="B17" s="1">
        <f>B$9/($K$9-$J$9-$I$9-$H$9)*-$H$17</f>
        <v>6899637.5545596955</v>
      </c>
      <c r="C17" s="1">
        <f>C$9/($K$9-$J$9-$I$9-$H$9)*-$H$17</f>
        <v>0</v>
      </c>
      <c r="D17" s="1">
        <f>D$9/($K$9-$J$9-$I$9-$H$9)*-$H$17</f>
        <v>380232.10973780969</v>
      </c>
      <c r="E17" s="1">
        <f>E$9/($K$9-$J$9-$I$9-$H$9)*-$H$17</f>
        <v>0</v>
      </c>
      <c r="G17" s="1">
        <f>G$9/($K$9-$J$9-$I$9-$H$9)*-$H$17</f>
        <v>1877438.2921608945</v>
      </c>
      <c r="H17" s="1">
        <f>-H15</f>
        <v>-9157307.9564583991</v>
      </c>
      <c r="K17" s="1">
        <v>0</v>
      </c>
    </row>
    <row r="18" spans="1:11" x14ac:dyDescent="0.2">
      <c r="A18" t="s">
        <v>4</v>
      </c>
      <c r="B18" s="1">
        <f>+B15+B17</f>
        <v>40684904.624605566</v>
      </c>
      <c r="C18" s="1">
        <f>+C15+C17</f>
        <v>0</v>
      </c>
      <c r="D18" s="1">
        <f>+D15+D17</f>
        <v>2242104.3130985964</v>
      </c>
      <c r="E18" s="1">
        <f>+E15+E17</f>
        <v>0</v>
      </c>
      <c r="G18" s="1">
        <f>+G15+G17</f>
        <v>11070639.182295833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53997648.11999999</v>
      </c>
    </row>
    <row r="20" spans="1:11" x14ac:dyDescent="0.2">
      <c r="A20" t="s">
        <v>7</v>
      </c>
      <c r="B20" s="1">
        <f>B$9/($K$9-$J$9-$I$9-$H$9-$G$9)*-$G$20</f>
        <v>10492412.828454016</v>
      </c>
      <c r="C20" s="1">
        <f>C$9/($K$9-$J$9-$I$9-$H$9-$G$9)*-$G$20</f>
        <v>0</v>
      </c>
      <c r="D20" s="1">
        <f>D$9/($K$9-$J$9-$I$9-$H$9-$G$9)*-$G$20</f>
        <v>578226.35384181782</v>
      </c>
      <c r="E20" s="1">
        <f>E$9/($K$9-$J$9-$I$9-$H$9-$G$9)*-$G$20</f>
        <v>0</v>
      </c>
      <c r="G20" s="1">
        <f>-G18</f>
        <v>-11070639.182295833</v>
      </c>
      <c r="K20" s="1">
        <f>SUM(B20:J20)</f>
        <v>0</v>
      </c>
    </row>
    <row r="22" spans="1:11" x14ac:dyDescent="0.2">
      <c r="A22" t="s">
        <v>8</v>
      </c>
      <c r="B22" s="1">
        <f>+B20+B18</f>
        <v>51177317.453059584</v>
      </c>
      <c r="C22" s="1">
        <f t="shared" ref="C22:K22" si="3">+C20+C18</f>
        <v>0</v>
      </c>
      <c r="D22" s="1">
        <f t="shared" si="3"/>
        <v>2820330.6669404143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53997648.11999999</v>
      </c>
    </row>
    <row r="27" spans="1:11" x14ac:dyDescent="0.2">
      <c r="A27" t="s">
        <v>9</v>
      </c>
      <c r="B27" s="1">
        <f>+B9</f>
        <v>24929032.440000001</v>
      </c>
    </row>
    <row r="28" spans="1:11" x14ac:dyDescent="0.2">
      <c r="A28" t="s">
        <v>10</v>
      </c>
      <c r="B28" s="1">
        <f>+B22-B27</f>
        <v>26248285.013059583</v>
      </c>
    </row>
    <row r="29" spans="1:11" x14ac:dyDescent="0.2">
      <c r="A29" s="35" t="s">
        <v>114</v>
      </c>
      <c r="B29" s="1">
        <v>6484</v>
      </c>
    </row>
    <row r="30" spans="1:11" x14ac:dyDescent="0.2">
      <c r="A30" t="s">
        <v>11</v>
      </c>
      <c r="B30" s="1">
        <f>+B28/B29</f>
        <v>4048.162401767363</v>
      </c>
    </row>
  </sheetData>
  <phoneticPr fontId="0" type="noConversion"/>
  <pageMargins left="0.59" right="0.55000000000000004" top="1" bottom="0.56000000000000005" header="0.5" footer="0.5"/>
  <pageSetup scale="97" orientation="landscape" horizontalDpi="4294967294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87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Table'!B22</f>
        <v>9448769.3699999992</v>
      </c>
      <c r="C9" s="1">
        <f>'Master Expend Table'!C22</f>
        <v>18056.86</v>
      </c>
      <c r="D9" s="1">
        <f>'Master Expend Table'!D22</f>
        <v>246148.93</v>
      </c>
      <c r="E9" s="1">
        <f>'Master Expend Table'!E22</f>
        <v>0</v>
      </c>
      <c r="G9" s="1">
        <f>'Master Expend Table'!G22</f>
        <v>2349135.88</v>
      </c>
      <c r="H9" s="1">
        <f>'Master Expend Table'!H22</f>
        <v>1467242.13</v>
      </c>
      <c r="I9" s="1">
        <f>'Master Expend Table'!I22</f>
        <v>3057166.58</v>
      </c>
      <c r="J9" s="1">
        <f>'Master Expend Table'!J22</f>
        <v>1801330.98</v>
      </c>
      <c r="K9" s="1">
        <f>SUM(B9:J9)</f>
        <v>18387850.729999997</v>
      </c>
    </row>
    <row r="11" spans="1:11" x14ac:dyDescent="0.2">
      <c r="A11" t="s">
        <v>3</v>
      </c>
      <c r="B11" s="1">
        <f>(B9/($K9-$J9))*-$J$11</f>
        <v>1026156.2549344377</v>
      </c>
      <c r="C11" s="1">
        <f t="shared" ref="C11:I11" si="0">(C9/($K9-$J9))*-$J$11</f>
        <v>1961.0130280357826</v>
      </c>
      <c r="D11" s="1">
        <f t="shared" si="0"/>
        <v>26732.292246108562</v>
      </c>
      <c r="E11" s="1">
        <f t="shared" si="0"/>
        <v>0</v>
      </c>
      <c r="G11" s="1">
        <f t="shared" si="0"/>
        <v>255121.10440609837</v>
      </c>
      <c r="H11" s="1">
        <f t="shared" si="0"/>
        <v>159345.58567840536</v>
      </c>
      <c r="I11" s="1">
        <f t="shared" si="0"/>
        <v>332014.72970691457</v>
      </c>
      <c r="J11" s="1">
        <f>-J9</f>
        <v>-1801330.98</v>
      </c>
      <c r="K11" s="1">
        <v>0</v>
      </c>
    </row>
    <row r="12" spans="1:11" x14ac:dyDescent="0.2">
      <c r="A12" t="s">
        <v>4</v>
      </c>
      <c r="B12" s="1">
        <f>+B9+B11</f>
        <v>10474925.624934437</v>
      </c>
      <c r="C12" s="1">
        <f t="shared" ref="C12:J12" si="1">+C9+C11</f>
        <v>20017.873028035785</v>
      </c>
      <c r="D12" s="1">
        <f t="shared" si="1"/>
        <v>272881.22224610858</v>
      </c>
      <c r="E12" s="1">
        <f t="shared" si="1"/>
        <v>0</v>
      </c>
      <c r="G12" s="1">
        <f t="shared" si="1"/>
        <v>2604256.9844060983</v>
      </c>
      <c r="H12" s="1">
        <f t="shared" si="1"/>
        <v>1626587.7156784052</v>
      </c>
      <c r="I12" s="1">
        <f t="shared" si="1"/>
        <v>3389181.3097069147</v>
      </c>
      <c r="J12" s="1">
        <f t="shared" si="1"/>
        <v>0</v>
      </c>
      <c r="K12" s="1">
        <f>SUM(B12:J12)</f>
        <v>18387850.73</v>
      </c>
    </row>
    <row r="14" spans="1:11" x14ac:dyDescent="0.2">
      <c r="A14" t="s">
        <v>5</v>
      </c>
      <c r="B14" s="1">
        <f>B$9/($K$9-$J$9-$I$9)*-I14</f>
        <v>2366971.4395174729</v>
      </c>
      <c r="C14" s="1">
        <f t="shared" ref="C14:H14" si="2">C$9/($K$9-$J$9-$I$9)*-$I$14</f>
        <v>4523.3479867829055</v>
      </c>
      <c r="D14" s="1">
        <f t="shared" si="2"/>
        <v>61661.732270409484</v>
      </c>
      <c r="E14" s="1">
        <f t="shared" si="2"/>
        <v>0</v>
      </c>
      <c r="G14" s="1">
        <f t="shared" si="2"/>
        <v>588472.14042073139</v>
      </c>
      <c r="H14" s="1">
        <f t="shared" si="2"/>
        <v>367552.64951151871</v>
      </c>
      <c r="I14" s="1">
        <f>-I12</f>
        <v>-3389181.3097069147</v>
      </c>
      <c r="K14" s="1">
        <v>0</v>
      </c>
    </row>
    <row r="15" spans="1:11" x14ac:dyDescent="0.2">
      <c r="A15" t="s">
        <v>4</v>
      </c>
      <c r="B15" s="1">
        <f>+B12+B14</f>
        <v>12841897.064451911</v>
      </c>
      <c r="C15" s="1">
        <f>+C12+C14</f>
        <v>24541.22101481869</v>
      </c>
      <c r="D15" s="1">
        <f>+D12+D14</f>
        <v>334542.95451651805</v>
      </c>
      <c r="E15" s="1">
        <f>+E12+E14</f>
        <v>0</v>
      </c>
      <c r="G15" s="1">
        <f>+G12+G14</f>
        <v>3192729.1248268299</v>
      </c>
      <c r="H15" s="1">
        <f>+H12+H14</f>
        <v>1994140.3651899239</v>
      </c>
      <c r="I15" s="1">
        <f>+I12+I14</f>
        <v>0</v>
      </c>
      <c r="J15" s="1">
        <f>+J12+J14</f>
        <v>0</v>
      </c>
      <c r="K15" s="1">
        <f>SUM(B15:J15)</f>
        <v>18387850.73</v>
      </c>
    </row>
    <row r="17" spans="1:11" x14ac:dyDescent="0.2">
      <c r="A17" t="s">
        <v>6</v>
      </c>
      <c r="B17" s="1">
        <f>B$9/($K$9-$J$9-$I$9-$H$9)*-$H$17</f>
        <v>1562095.7508684294</v>
      </c>
      <c r="C17" s="1">
        <f>C$9/($K$9-$J$9-$I$9-$H$9)*-$H$17</f>
        <v>2985.2082504608866</v>
      </c>
      <c r="D17" s="1">
        <f>D$9/($K$9-$J$9-$I$9-$H$9)*-$H$17</f>
        <v>40693.997554287911</v>
      </c>
      <c r="E17" s="1">
        <f>E$9/($K$9-$J$9-$I$9-$H$9)*-$H$17</f>
        <v>0</v>
      </c>
      <c r="G17" s="1">
        <f>G$9/($K$9-$J$9-$I$9-$H$9)*-$H$17</f>
        <v>388365.40851674625</v>
      </c>
      <c r="H17" s="1">
        <f>-H15</f>
        <v>-1994140.3651899239</v>
      </c>
      <c r="K17" s="1">
        <v>0</v>
      </c>
    </row>
    <row r="18" spans="1:11" x14ac:dyDescent="0.2">
      <c r="A18" t="s">
        <v>4</v>
      </c>
      <c r="B18" s="1">
        <f>+B15+B17</f>
        <v>14403992.815320339</v>
      </c>
      <c r="C18" s="1">
        <f>+C15+C17</f>
        <v>27526.429265279578</v>
      </c>
      <c r="D18" s="1">
        <f>+D15+D17</f>
        <v>375236.95207080594</v>
      </c>
      <c r="E18" s="1">
        <f>+E15+E17</f>
        <v>0</v>
      </c>
      <c r="G18" s="1">
        <f>+G15+G17</f>
        <v>3581094.5333435759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18387850.73</v>
      </c>
    </row>
    <row r="20" spans="1:11" x14ac:dyDescent="0.2">
      <c r="A20" t="s">
        <v>7</v>
      </c>
      <c r="B20" s="1">
        <f>B$9/($K$9-$J$9-$I$9-$H$9-$G$9)*-$G$20</f>
        <v>3483684.0185773969</v>
      </c>
      <c r="C20" s="1">
        <f>C$9/($K$9-$J$9-$I$9-$H$9-$G$9)*-$G$20</f>
        <v>6657.4166586615993</v>
      </c>
      <c r="D20" s="1">
        <f>D$9/($K$9-$J$9-$I$9-$H$9-$G$9)*-$G$20</f>
        <v>90753.09810751857</v>
      </c>
      <c r="E20" s="1">
        <f>E$9/($K$9-$J$9-$I$9-$H$9-$G$9)*-$G$20</f>
        <v>0</v>
      </c>
      <c r="G20" s="1">
        <f>-G18</f>
        <v>-3581094.5333435759</v>
      </c>
      <c r="K20" s="1">
        <f>SUM(B20:J20)</f>
        <v>0</v>
      </c>
    </row>
    <row r="22" spans="1:11" x14ac:dyDescent="0.2">
      <c r="A22" t="s">
        <v>8</v>
      </c>
      <c r="B22" s="1">
        <f>+B20+B18</f>
        <v>17887676.833897736</v>
      </c>
      <c r="C22" s="1">
        <f t="shared" ref="C22:K22" si="3">+C20+C18</f>
        <v>34183.845923941175</v>
      </c>
      <c r="D22" s="1">
        <f t="shared" si="3"/>
        <v>465990.05017832451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18387850.73</v>
      </c>
    </row>
    <row r="27" spans="1:11" x14ac:dyDescent="0.2">
      <c r="A27" t="s">
        <v>9</v>
      </c>
      <c r="B27" s="1">
        <f>+B9</f>
        <v>9448769.3699999992</v>
      </c>
    </row>
    <row r="28" spans="1:11" x14ac:dyDescent="0.2">
      <c r="A28" t="s">
        <v>10</v>
      </c>
      <c r="B28" s="1">
        <f>+B22-B27</f>
        <v>8438907.4638977367</v>
      </c>
    </row>
    <row r="29" spans="1:11" x14ac:dyDescent="0.2">
      <c r="A29" s="35" t="s">
        <v>114</v>
      </c>
      <c r="B29" s="1">
        <v>1597</v>
      </c>
    </row>
    <row r="30" spans="1:11" x14ac:dyDescent="0.2">
      <c r="A30" t="s">
        <v>11</v>
      </c>
      <c r="B30" s="1">
        <f>+B28/B29</f>
        <v>5284.225086974162</v>
      </c>
    </row>
  </sheetData>
  <phoneticPr fontId="0" type="noConversion"/>
  <pageMargins left="0.56000000000000005" right="0.55000000000000004" top="1" bottom="0.53" header="0.5" footer="0.5"/>
  <pageSetup scale="97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4.5703125" customWidth="1"/>
    <col min="2" max="2" width="14.28515625" style="1" customWidth="1"/>
    <col min="3" max="3" width="11.28515625" style="1" customWidth="1"/>
    <col min="4" max="4" width="11" style="1" customWidth="1"/>
    <col min="5" max="5" width="11.140625" style="1" customWidth="1"/>
    <col min="6" max="6" width="2.7109375" style="3" customWidth="1"/>
    <col min="7" max="7" width="13.5703125" style="1" bestFit="1" customWidth="1"/>
    <col min="8" max="9" width="13.28515625" style="1" bestFit="1" customWidth="1"/>
    <col min="10" max="10" width="12.42578125" style="1" customWidth="1"/>
    <col min="11" max="11" width="13" style="1" customWidth="1"/>
  </cols>
  <sheetData>
    <row r="1" spans="1:11" ht="15.75" x14ac:dyDescent="0.25">
      <c r="A1" s="5" t="s">
        <v>113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+'Master Expend Table'!B49</f>
        <v>699151837.01999986</v>
      </c>
      <c r="C9" s="1">
        <f>+'Master Expend Table'!C49</f>
        <v>3558503.03</v>
      </c>
      <c r="D9" s="1">
        <f>+'Master Expend Table'!D49</f>
        <v>39363403.820000008</v>
      </c>
      <c r="E9" s="1">
        <f>+'Master Expend Table'!E49</f>
        <v>23098136.400000002</v>
      </c>
      <c r="G9" s="1">
        <f>+'Master Expend Table'!G49</f>
        <v>222304806.40999994</v>
      </c>
      <c r="H9" s="1">
        <f>+'Master Expend Table'!H49</f>
        <v>141682201.96000004</v>
      </c>
      <c r="I9" s="1">
        <f>+'Master Expend Table'!I49</f>
        <v>235477081.56999996</v>
      </c>
      <c r="J9" s="1">
        <f>+'Master Expend Table'!J49</f>
        <v>166839315.84000006</v>
      </c>
      <c r="K9" s="1">
        <f>SUM(B9:J9)</f>
        <v>1531475286.05</v>
      </c>
    </row>
    <row r="11" spans="1:11" x14ac:dyDescent="0.2">
      <c r="A11" t="s">
        <v>3</v>
      </c>
      <c r="B11" s="1">
        <f>(B9/($K9-$J9))*-$J$11</f>
        <v>85477751.358661383</v>
      </c>
      <c r="C11" s="1">
        <f t="shared" ref="C11:I11" si="0">(C9/($K9-$J9))*-$J$11</f>
        <v>435059.7697116285</v>
      </c>
      <c r="D11" s="1">
        <f t="shared" si="0"/>
        <v>4812538.6592673603</v>
      </c>
      <c r="E11" s="1">
        <f t="shared" si="0"/>
        <v>2823959.9118598429</v>
      </c>
      <c r="G11" s="1">
        <f t="shared" si="0"/>
        <v>27178810.040952172</v>
      </c>
      <c r="H11" s="1">
        <f t="shared" si="0"/>
        <v>17321954.101849973</v>
      </c>
      <c r="I11" s="1">
        <f t="shared" si="0"/>
        <v>28789241.997697707</v>
      </c>
      <c r="J11" s="1">
        <f>-J9</f>
        <v>-166839315.84000006</v>
      </c>
      <c r="K11" s="1">
        <v>0</v>
      </c>
    </row>
    <row r="12" spans="1:11" x14ac:dyDescent="0.2">
      <c r="A12" t="s">
        <v>4</v>
      </c>
      <c r="B12" s="1">
        <f>+B9+B11</f>
        <v>784629588.37866127</v>
      </c>
      <c r="C12" s="1">
        <f t="shared" ref="C12:J12" si="1">+C9+C11</f>
        <v>3993562.7997116284</v>
      </c>
      <c r="D12" s="1">
        <f t="shared" si="1"/>
        <v>44175942.479267366</v>
      </c>
      <c r="E12" s="1">
        <f t="shared" si="1"/>
        <v>25922096.311859846</v>
      </c>
      <c r="G12" s="1">
        <f t="shared" si="1"/>
        <v>249483616.45095211</v>
      </c>
      <c r="H12" s="1">
        <f t="shared" si="1"/>
        <v>159004156.06185001</v>
      </c>
      <c r="I12" s="1">
        <f t="shared" si="1"/>
        <v>264266323.56769767</v>
      </c>
      <c r="J12" s="1">
        <f t="shared" si="1"/>
        <v>0</v>
      </c>
      <c r="K12" s="1">
        <f>SUM(B12:J12)</f>
        <v>1531475286.05</v>
      </c>
    </row>
    <row r="14" spans="1:11" x14ac:dyDescent="0.2">
      <c r="A14" t="s">
        <v>5</v>
      </c>
      <c r="B14" s="1">
        <f>B$9/($K$9-$J$9-$I$9)*-I14</f>
        <v>163628243.50381011</v>
      </c>
      <c r="C14" s="1">
        <f t="shared" ref="C14:H14" si="2">C$9/($K$9-$J$9-$I$9)*-$I$14</f>
        <v>832825.6745826581</v>
      </c>
      <c r="D14" s="1">
        <f t="shared" si="2"/>
        <v>9212540.5160217304</v>
      </c>
      <c r="E14" s="1">
        <f t="shared" si="2"/>
        <v>5405846.4659877652</v>
      </c>
      <c r="G14" s="1">
        <f t="shared" si="2"/>
        <v>52027818.664348714</v>
      </c>
      <c r="H14" s="1">
        <f t="shared" si="2"/>
        <v>33159048.742946681</v>
      </c>
      <c r="I14" s="1">
        <f>-I12</f>
        <v>-264266323.56769767</v>
      </c>
      <c r="K14" s="1">
        <v>0</v>
      </c>
    </row>
    <row r="15" spans="1:11" x14ac:dyDescent="0.2">
      <c r="A15" t="s">
        <v>4</v>
      </c>
      <c r="B15" s="1">
        <f>+B12+B14</f>
        <v>948257831.88247132</v>
      </c>
      <c r="C15" s="1">
        <f>+C12+C14</f>
        <v>4826388.4742942862</v>
      </c>
      <c r="D15" s="1">
        <f>+D12+D14</f>
        <v>53388482.995289095</v>
      </c>
      <c r="E15" s="1">
        <f>+E12+E14</f>
        <v>31327942.77784761</v>
      </c>
      <c r="G15" s="1">
        <f>+G12+G14</f>
        <v>301511435.11530083</v>
      </c>
      <c r="H15" s="1">
        <f>+H12+H14</f>
        <v>192163204.8047967</v>
      </c>
      <c r="I15" s="1">
        <f>+I12+I14</f>
        <v>0</v>
      </c>
      <c r="J15" s="1">
        <f>+J12+J14</f>
        <v>0</v>
      </c>
      <c r="K15" s="1">
        <f>SUM(B15:J15)</f>
        <v>1531475286.05</v>
      </c>
    </row>
    <row r="17" spans="1:11" x14ac:dyDescent="0.2">
      <c r="A17" t="s">
        <v>6</v>
      </c>
      <c r="B17" s="1">
        <f>B$9/($K$9-$J$9-$I$9-$H$9)*-$H$17</f>
        <v>136055118.52500242</v>
      </c>
      <c r="C17" s="1">
        <f>C$9/($K$9-$J$9-$I$9-$H$9)*-$H$17</f>
        <v>692485.56019224285</v>
      </c>
      <c r="D17" s="1">
        <f>D$9/($K$9-$J$9-$I$9-$H$9)*-$H$17</f>
        <v>7660128.0132579179</v>
      </c>
      <c r="E17" s="1">
        <f>E$9/($K$9-$J$9-$I$9-$H$9)*-$H$17</f>
        <v>4494902.9941814719</v>
      </c>
      <c r="G17" s="1">
        <f>G$9/($K$9-$J$9-$I$9-$H$9)*-$H$17</f>
        <v>43260569.712162621</v>
      </c>
      <c r="H17" s="1">
        <f>-H15</f>
        <v>-192163204.8047967</v>
      </c>
      <c r="K17" s="1">
        <v>0</v>
      </c>
    </row>
    <row r="18" spans="1:11" x14ac:dyDescent="0.2">
      <c r="A18" t="s">
        <v>4</v>
      </c>
      <c r="B18" s="1">
        <f>+B15+B17</f>
        <v>1084312950.4074738</v>
      </c>
      <c r="C18" s="1">
        <f>+C15+C17</f>
        <v>5518874.0344865294</v>
      </c>
      <c r="D18" s="1">
        <f>+D15+D17</f>
        <v>61048611.008547015</v>
      </c>
      <c r="E18" s="1">
        <f>+E15+E17</f>
        <v>35822845.772029079</v>
      </c>
      <c r="G18" s="1">
        <f>+G15+G17</f>
        <v>344772004.82746345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1531475286.05</v>
      </c>
    </row>
    <row r="20" spans="1:11" x14ac:dyDescent="0.2">
      <c r="A20" t="s">
        <v>7</v>
      </c>
      <c r="B20" s="1">
        <f>B$9/($K$9-$J$9-$I$9-$H$9-$G$9)*-$G$20</f>
        <v>315024619.62289143</v>
      </c>
      <c r="C20" s="1">
        <f>C$9/($K$9-$J$9-$I$9-$H$9-$G$9)*-$G$20</f>
        <v>1603394.290188483</v>
      </c>
      <c r="D20" s="1">
        <f>D$9/($K$9-$J$9-$I$9-$H$9-$G$9)*-$G$20</f>
        <v>17736406.684293739</v>
      </c>
      <c r="E20" s="1">
        <f>E$9/($K$9-$J$9-$I$9-$H$9-$G$9)*-$G$20</f>
        <v>10407584.230089799</v>
      </c>
      <c r="G20" s="1">
        <f>-G18</f>
        <v>-344772004.82746345</v>
      </c>
      <c r="K20" s="1">
        <f>SUM(B20:J20)</f>
        <v>0</v>
      </c>
    </row>
    <row r="22" spans="1:11" x14ac:dyDescent="0.2">
      <c r="A22" t="s">
        <v>8</v>
      </c>
      <c r="B22" s="1">
        <f>+B20+B18</f>
        <v>1399337570.0303652</v>
      </c>
      <c r="C22" s="1">
        <f t="shared" ref="C22:K22" si="3">+C20+C18</f>
        <v>7122268.3246750124</v>
      </c>
      <c r="D22" s="1">
        <f t="shared" si="3"/>
        <v>78785017.692840755</v>
      </c>
      <c r="E22" s="1">
        <f t="shared" si="3"/>
        <v>46230430.002118878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1531475286.05</v>
      </c>
    </row>
    <row r="27" spans="1:11" x14ac:dyDescent="0.2">
      <c r="A27" t="s">
        <v>9</v>
      </c>
      <c r="B27" s="1">
        <f>+B9</f>
        <v>699151837.01999986</v>
      </c>
    </row>
    <row r="28" spans="1:11" x14ac:dyDescent="0.2">
      <c r="A28" t="s">
        <v>10</v>
      </c>
      <c r="B28" s="1">
        <f>+B22-B27</f>
        <v>700185733.01036537</v>
      </c>
    </row>
    <row r="29" spans="1:11" x14ac:dyDescent="0.2">
      <c r="A29" s="35" t="s">
        <v>114</v>
      </c>
      <c r="B29" s="1">
        <v>144524</v>
      </c>
    </row>
    <row r="30" spans="1:11" x14ac:dyDescent="0.2">
      <c r="A30" t="s">
        <v>11</v>
      </c>
      <c r="B30" s="1">
        <f>+B28/B29</f>
        <v>4844.7713390880781</v>
      </c>
    </row>
  </sheetData>
  <phoneticPr fontId="0" type="noConversion"/>
  <pageMargins left="0.32" right="0.18" top="1" bottom="1" header="0.5" footer="0.5"/>
  <pageSetup scale="9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30"/>
  <sheetViews>
    <sheetView zoomScale="80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.570312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98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Table'!B23</f>
        <v>20918138.57</v>
      </c>
      <c r="C9" s="1">
        <f>'Master Expend Table'!C23</f>
        <v>0</v>
      </c>
      <c r="D9" s="1">
        <f>'Master Expend Table'!D23</f>
        <v>1203728.6100000001</v>
      </c>
      <c r="E9" s="1">
        <f>'Master Expend Table'!E23</f>
        <v>0</v>
      </c>
      <c r="G9" s="1">
        <f>'Master Expend Table'!G23</f>
        <v>6669736.29</v>
      </c>
      <c r="H9" s="1">
        <f>'Master Expend Table'!H23</f>
        <v>5399367.6299999999</v>
      </c>
      <c r="I9" s="1">
        <f>'Master Expend Table'!I23</f>
        <v>6416115.9100000001</v>
      </c>
      <c r="J9" s="1">
        <f>'Master Expend Table'!J23</f>
        <v>4351965.63</v>
      </c>
      <c r="K9" s="1">
        <f>SUM(B9:J9)</f>
        <v>44959052.640000008</v>
      </c>
    </row>
    <row r="11" spans="1:11" x14ac:dyDescent="0.2">
      <c r="A11" t="s">
        <v>3</v>
      </c>
      <c r="B11" s="1">
        <f>(B9/($K9-$J9))*-$J$11</f>
        <v>2241850.5439161109</v>
      </c>
      <c r="C11" s="1">
        <f t="shared" ref="C11:I11" si="0">(C9/($K9-$J9))*-$J$11</f>
        <v>0</v>
      </c>
      <c r="D11" s="1">
        <f t="shared" si="0"/>
        <v>129006.68145138328</v>
      </c>
      <c r="E11" s="1">
        <f t="shared" si="0"/>
        <v>0</v>
      </c>
      <c r="G11" s="1">
        <f t="shared" si="0"/>
        <v>714812.7391678103</v>
      </c>
      <c r="H11" s="1">
        <f t="shared" si="0"/>
        <v>578664.0726951902</v>
      </c>
      <c r="I11" s="1">
        <f t="shared" si="0"/>
        <v>687631.59276950487</v>
      </c>
      <c r="J11" s="1">
        <f>-J9</f>
        <v>-4351965.63</v>
      </c>
      <c r="K11" s="1">
        <v>0</v>
      </c>
    </row>
    <row r="12" spans="1:11" x14ac:dyDescent="0.2">
      <c r="A12" t="s">
        <v>4</v>
      </c>
      <c r="B12" s="1">
        <f>+B9+B11</f>
        <v>23159989.11391611</v>
      </c>
      <c r="C12" s="1">
        <f t="shared" ref="C12:J12" si="1">+C9+C11</f>
        <v>0</v>
      </c>
      <c r="D12" s="1">
        <f t="shared" si="1"/>
        <v>1332735.2914513834</v>
      </c>
      <c r="E12" s="1">
        <f t="shared" si="1"/>
        <v>0</v>
      </c>
      <c r="G12" s="1">
        <f t="shared" si="1"/>
        <v>7384549.0291678105</v>
      </c>
      <c r="H12" s="1">
        <f t="shared" si="1"/>
        <v>5978031.70269519</v>
      </c>
      <c r="I12" s="1">
        <f t="shared" si="1"/>
        <v>7103747.5027695047</v>
      </c>
      <c r="J12" s="1">
        <f t="shared" si="1"/>
        <v>0</v>
      </c>
      <c r="K12" s="1">
        <f>SUM(B12:J12)</f>
        <v>44959052.640000001</v>
      </c>
    </row>
    <row r="14" spans="1:11" x14ac:dyDescent="0.2">
      <c r="A14" t="s">
        <v>5</v>
      </c>
      <c r="B14" s="1">
        <f>B$9/($K$9-$J$9-$I$9)*-I14</f>
        <v>4346094.0081115132</v>
      </c>
      <c r="C14" s="1">
        <f t="shared" ref="C14:H14" si="2">C$9/($K$9-$J$9-$I$9)*-$I$14</f>
        <v>0</v>
      </c>
      <c r="D14" s="1">
        <f t="shared" si="2"/>
        <v>250094.80082593224</v>
      </c>
      <c r="E14" s="1">
        <f t="shared" si="2"/>
        <v>0</v>
      </c>
      <c r="G14" s="1">
        <f t="shared" si="2"/>
        <v>1385749.5411769287</v>
      </c>
      <c r="H14" s="1">
        <f t="shared" si="2"/>
        <v>1121809.1526551284</v>
      </c>
      <c r="I14" s="1">
        <f>-I12</f>
        <v>-7103747.5027695047</v>
      </c>
      <c r="K14" s="1">
        <v>0</v>
      </c>
    </row>
    <row r="15" spans="1:11" x14ac:dyDescent="0.2">
      <c r="A15" t="s">
        <v>4</v>
      </c>
      <c r="B15" s="1">
        <f>+B12+B14</f>
        <v>27506083.122027624</v>
      </c>
      <c r="C15" s="1">
        <f>+C12+C14</f>
        <v>0</v>
      </c>
      <c r="D15" s="1">
        <f>+D12+D14</f>
        <v>1582830.0922773157</v>
      </c>
      <c r="E15" s="1">
        <f>+E12+E14</f>
        <v>0</v>
      </c>
      <c r="G15" s="1">
        <f>+G12+G14</f>
        <v>8770298.5703447387</v>
      </c>
      <c r="H15" s="1">
        <f>+H12+H14</f>
        <v>7099840.8553503184</v>
      </c>
      <c r="I15" s="1">
        <f>+I12+I14</f>
        <v>0</v>
      </c>
      <c r="J15" s="1">
        <f>+J12+J14</f>
        <v>0</v>
      </c>
      <c r="K15" s="1">
        <f>SUM(B15:J15)</f>
        <v>44959052.639999993</v>
      </c>
    </row>
    <row r="17" spans="1:11" x14ac:dyDescent="0.2">
      <c r="A17" t="s">
        <v>6</v>
      </c>
      <c r="B17" s="1">
        <f>B$9/($K$9-$J$9-$I$9-$H$9)*-$H$17</f>
        <v>5158290.5061857337</v>
      </c>
      <c r="C17" s="1">
        <f>C$9/($K$9-$J$9-$I$9-$H$9)*-$H$17</f>
        <v>0</v>
      </c>
      <c r="D17" s="1">
        <f>D$9/($K$9-$J$9-$I$9-$H$9)*-$H$17</f>
        <v>296832.42800065025</v>
      </c>
      <c r="E17" s="1">
        <f>E$9/($K$9-$J$9-$I$9-$H$9)*-$H$17</f>
        <v>0</v>
      </c>
      <c r="G17" s="1">
        <f>G$9/($K$9-$J$9-$I$9-$H$9)*-$H$17</f>
        <v>1644717.9211639317</v>
      </c>
      <c r="H17" s="1">
        <f>-H15</f>
        <v>-7099840.8553503184</v>
      </c>
      <c r="K17" s="1">
        <v>0</v>
      </c>
    </row>
    <row r="18" spans="1:11" x14ac:dyDescent="0.2">
      <c r="A18" t="s">
        <v>4</v>
      </c>
      <c r="B18" s="1">
        <f>+B15+B17</f>
        <v>32664373.628213357</v>
      </c>
      <c r="C18" s="1">
        <f>+C15+C17</f>
        <v>0</v>
      </c>
      <c r="D18" s="1">
        <f>+D15+D17</f>
        <v>1879662.5202779658</v>
      </c>
      <c r="E18" s="1">
        <f>+E15+E17</f>
        <v>0</v>
      </c>
      <c r="G18" s="1">
        <f>+G15+G17</f>
        <v>10415016.49150867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44959052.639999993</v>
      </c>
    </row>
    <row r="20" spans="1:11" x14ac:dyDescent="0.2">
      <c r="A20" t="s">
        <v>7</v>
      </c>
      <c r="B20" s="1">
        <f>B$9/($K$9-$J$9-$I$9-$H$9-$G$9)*-$G$20</f>
        <v>9848298.8079405632</v>
      </c>
      <c r="C20" s="1">
        <f>C$9/($K$9-$J$9-$I$9-$H$9-$G$9)*-$G$20</f>
        <v>0</v>
      </c>
      <c r="D20" s="1">
        <f>D$9/($K$9-$J$9-$I$9-$H$9-$G$9)*-$G$20</f>
        <v>566717.68356810114</v>
      </c>
      <c r="E20" s="1">
        <f>E$9/($K$9-$J$9-$I$9-$H$9-$G$9)*-$G$20</f>
        <v>0</v>
      </c>
      <c r="G20" s="1">
        <f>-G18</f>
        <v>-10415016.49150867</v>
      </c>
      <c r="K20" s="1">
        <f>SUM(B20:J20)</f>
        <v>0</v>
      </c>
    </row>
    <row r="22" spans="1:11" x14ac:dyDescent="0.2">
      <c r="A22" t="s">
        <v>8</v>
      </c>
      <c r="B22" s="1">
        <f>+B20+B18</f>
        <v>42512672.436153919</v>
      </c>
      <c r="C22" s="1">
        <f t="shared" ref="C22:K22" si="3">+C20+C18</f>
        <v>0</v>
      </c>
      <c r="D22" s="1">
        <f t="shared" si="3"/>
        <v>2446380.2038460672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44959052.639999993</v>
      </c>
    </row>
    <row r="27" spans="1:11" x14ac:dyDescent="0.2">
      <c r="A27" t="s">
        <v>9</v>
      </c>
      <c r="B27" s="1">
        <f>+B9</f>
        <v>20918138.57</v>
      </c>
    </row>
    <row r="28" spans="1:11" x14ac:dyDescent="0.2">
      <c r="A28" t="s">
        <v>10</v>
      </c>
      <c r="B28" s="1">
        <f>+B22-B27</f>
        <v>21594533.866153918</v>
      </c>
    </row>
    <row r="29" spans="1:11" x14ac:dyDescent="0.2">
      <c r="A29" s="35" t="s">
        <v>114</v>
      </c>
      <c r="B29" s="1">
        <v>4527</v>
      </c>
    </row>
    <row r="30" spans="1:11" x14ac:dyDescent="0.2">
      <c r="A30" t="s">
        <v>11</v>
      </c>
      <c r="B30" s="1">
        <f>+B28/B29</f>
        <v>4770.1643176836578</v>
      </c>
    </row>
  </sheetData>
  <phoneticPr fontId="11" type="noConversion"/>
  <pageMargins left="0.64" right="0.51" top="1" bottom="1" header="0.5" footer="0.5"/>
  <pageSetup scale="9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99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Table'!B24</f>
        <v>34830003.369999997</v>
      </c>
      <c r="C9" s="1">
        <f>'Master Expend Table'!C24</f>
        <v>47574.92</v>
      </c>
      <c r="D9" s="1">
        <f>'Master Expend Table'!D24</f>
        <v>253905.01</v>
      </c>
      <c r="E9" s="1">
        <f>'Master Expend Table'!E24</f>
        <v>2616419.37</v>
      </c>
      <c r="G9" s="1">
        <f>'Master Expend Table'!G24</f>
        <v>12671757.789999999</v>
      </c>
      <c r="H9" s="1">
        <f>'Master Expend Table'!H24</f>
        <v>7947198.9299999997</v>
      </c>
      <c r="I9" s="1">
        <f>'Master Expend Table'!I24</f>
        <v>7168674.54</v>
      </c>
      <c r="J9" s="1">
        <f>'Master Expend Table'!J24</f>
        <v>8670438.1199999992</v>
      </c>
      <c r="K9" s="1">
        <f>SUM(B9:J9)</f>
        <v>74205972.049999997</v>
      </c>
    </row>
    <row r="11" spans="1:11" x14ac:dyDescent="0.2">
      <c r="A11" t="s">
        <v>3</v>
      </c>
      <c r="B11" s="1">
        <f>(B9/($K9-$J9))*-$J$11</f>
        <v>4608055.6734540425</v>
      </c>
      <c r="C11" s="1">
        <f t="shared" ref="C11:I11" si="0">(C9/($K9-$J9))*-$J$11</f>
        <v>6294.2250591037537</v>
      </c>
      <c r="D11" s="1">
        <f t="shared" si="0"/>
        <v>33591.969814641612</v>
      </c>
      <c r="E11" s="1">
        <f t="shared" si="0"/>
        <v>346155.75525462703</v>
      </c>
      <c r="G11" s="1">
        <f t="shared" si="0"/>
        <v>1676490.3740187311</v>
      </c>
      <c r="H11" s="1">
        <f t="shared" si="0"/>
        <v>1051424.9662403751</v>
      </c>
      <c r="I11" s="1">
        <f t="shared" si="0"/>
        <v>948425.15615847753</v>
      </c>
      <c r="J11" s="1">
        <f>-J9</f>
        <v>-8670438.1199999992</v>
      </c>
      <c r="K11" s="1">
        <v>0</v>
      </c>
    </row>
    <row r="12" spans="1:11" x14ac:dyDescent="0.2">
      <c r="A12" t="s">
        <v>4</v>
      </c>
      <c r="B12" s="1">
        <f>+B9+B11</f>
        <v>39438059.043454036</v>
      </c>
      <c r="C12" s="1">
        <f t="shared" ref="C12:J12" si="1">+C9+C11</f>
        <v>53869.14505910375</v>
      </c>
      <c r="D12" s="1">
        <f t="shared" si="1"/>
        <v>287496.97981464164</v>
      </c>
      <c r="E12" s="1">
        <f t="shared" si="1"/>
        <v>2962575.1252546273</v>
      </c>
      <c r="G12" s="1">
        <f t="shared" si="1"/>
        <v>14348248.16401873</v>
      </c>
      <c r="H12" s="1">
        <f t="shared" si="1"/>
        <v>8998623.8962403741</v>
      </c>
      <c r="I12" s="1">
        <f t="shared" si="1"/>
        <v>8117099.696158478</v>
      </c>
      <c r="J12" s="1">
        <f t="shared" si="1"/>
        <v>0</v>
      </c>
      <c r="K12" s="1">
        <f>SUM(B12:J12)</f>
        <v>74205972.049999997</v>
      </c>
    </row>
    <row r="14" spans="1:11" x14ac:dyDescent="0.2">
      <c r="A14" t="s">
        <v>5</v>
      </c>
      <c r="B14" s="1">
        <f>B$9/($K$9-$J$9-$I$9)*-I14</f>
        <v>4843820.8381700926</v>
      </c>
      <c r="C14" s="1">
        <f t="shared" ref="C14:H14" si="2">C$9/($K$9-$J$9-$I$9)*-$I$14</f>
        <v>6616.2608835336187</v>
      </c>
      <c r="D14" s="1">
        <f t="shared" si="2"/>
        <v>35310.659183372503</v>
      </c>
      <c r="E14" s="1">
        <f t="shared" si="2"/>
        <v>363866.36346736213</v>
      </c>
      <c r="G14" s="1">
        <f t="shared" si="2"/>
        <v>1762265.8197131895</v>
      </c>
      <c r="H14" s="1">
        <f t="shared" si="2"/>
        <v>1105219.7547409271</v>
      </c>
      <c r="I14" s="1">
        <f>-I12</f>
        <v>-8117099.696158478</v>
      </c>
      <c r="K14" s="1">
        <v>0</v>
      </c>
    </row>
    <row r="15" spans="1:11" x14ac:dyDescent="0.2">
      <c r="A15" t="s">
        <v>4</v>
      </c>
      <c r="B15" s="1">
        <f>+B12+B14</f>
        <v>44281879.881624132</v>
      </c>
      <c r="C15" s="1">
        <f>+C12+C14</f>
        <v>60485.405942637371</v>
      </c>
      <c r="D15" s="1">
        <f>+D12+D14</f>
        <v>322807.63899801415</v>
      </c>
      <c r="E15" s="1">
        <f>+E12+E14</f>
        <v>3326441.4887219896</v>
      </c>
      <c r="G15" s="1">
        <f>+G12+G14</f>
        <v>16110513.98373192</v>
      </c>
      <c r="H15" s="1">
        <f>+H12+H14</f>
        <v>10103843.650981301</v>
      </c>
      <c r="I15" s="1">
        <f>+I12+I14</f>
        <v>0</v>
      </c>
      <c r="J15" s="1">
        <f>+J12+J14</f>
        <v>0</v>
      </c>
      <c r="K15" s="1">
        <f>SUM(B15:J15)</f>
        <v>74205972.049999997</v>
      </c>
    </row>
    <row r="17" spans="1:11" x14ac:dyDescent="0.2">
      <c r="A17" t="s">
        <v>6</v>
      </c>
      <c r="B17" s="1">
        <f>B$9/($K$9-$J$9-$I$9-$H$9)*-$H$17</f>
        <v>6979755.6191958496</v>
      </c>
      <c r="C17" s="1">
        <f>C$9/($K$9-$J$9-$I$9-$H$9)*-$H$17</f>
        <v>9533.7721238581962</v>
      </c>
      <c r="D17" s="1">
        <f>D$9/($K$9-$J$9-$I$9-$H$9)*-$H$17</f>
        <v>50881.273293700477</v>
      </c>
      <c r="E17" s="1">
        <f>E$9/($K$9-$J$9-$I$9-$H$9)*-$H$17</f>
        <v>524317.14134314097</v>
      </c>
      <c r="G17" s="1">
        <f>G$9/($K$9-$J$9-$I$9-$H$9)*-$H$17</f>
        <v>2539355.845024751</v>
      </c>
      <c r="H17" s="1">
        <f>-H15</f>
        <v>-10103843.650981301</v>
      </c>
      <c r="K17" s="1">
        <v>0</v>
      </c>
    </row>
    <row r="18" spans="1:11" x14ac:dyDescent="0.2">
      <c r="A18" t="s">
        <v>4</v>
      </c>
      <c r="B18" s="1">
        <f>+B15+B17</f>
        <v>51261635.500819981</v>
      </c>
      <c r="C18" s="1">
        <f>+C15+C17</f>
        <v>70019.178066495573</v>
      </c>
      <c r="D18" s="1">
        <f>+D15+D17</f>
        <v>373688.91229171463</v>
      </c>
      <c r="E18" s="1">
        <f>+E15+E17</f>
        <v>3850758.6300651305</v>
      </c>
      <c r="G18" s="1">
        <f>+G15+G17</f>
        <v>18649869.828756671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74205972.049999982</v>
      </c>
    </row>
    <row r="20" spans="1:11" x14ac:dyDescent="0.2">
      <c r="A20" t="s">
        <v>7</v>
      </c>
      <c r="B20" s="1">
        <f>B$9/($K$9-$J$9-$I$9-$H$9-$G$9)*-$G$20</f>
        <v>17208241.598596241</v>
      </c>
      <c r="C20" s="1">
        <f>C$9/($K$9-$J$9-$I$9-$H$9-$G$9)*-$G$20</f>
        <v>23505.042727013904</v>
      </c>
      <c r="D20" s="1">
        <f>D$9/($K$9-$J$9-$I$9-$H$9-$G$9)*-$G$20</f>
        <v>125445.25789329532</v>
      </c>
      <c r="E20" s="1">
        <f>E$9/($K$9-$J$9-$I$9-$H$9-$G$9)*-$G$20</f>
        <v>1292677.9295401194</v>
      </c>
      <c r="G20" s="1">
        <f>-G18</f>
        <v>-18649869.828756671</v>
      </c>
      <c r="K20" s="1">
        <f>SUM(B20:J20)</f>
        <v>0</v>
      </c>
    </row>
    <row r="22" spans="1:11" x14ac:dyDescent="0.2">
      <c r="A22" t="s">
        <v>8</v>
      </c>
      <c r="B22" s="1">
        <f>+B20+B18</f>
        <v>68469877.099416226</v>
      </c>
      <c r="C22" s="1">
        <f t="shared" ref="C22:K22" si="3">+C20+C18</f>
        <v>93524.220793509478</v>
      </c>
      <c r="D22" s="1">
        <f t="shared" si="3"/>
        <v>499134.17018500995</v>
      </c>
      <c r="E22" s="1">
        <f t="shared" si="3"/>
        <v>5143436.5596052501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74205972.049999982</v>
      </c>
    </row>
    <row r="27" spans="1:11" x14ac:dyDescent="0.2">
      <c r="A27" t="s">
        <v>9</v>
      </c>
      <c r="B27" s="1">
        <f>+B9</f>
        <v>34830003.369999997</v>
      </c>
    </row>
    <row r="28" spans="1:11" x14ac:dyDescent="0.2">
      <c r="A28" t="s">
        <v>10</v>
      </c>
      <c r="B28" s="1">
        <f>+B22-B27</f>
        <v>33639873.729416229</v>
      </c>
    </row>
    <row r="29" spans="1:11" x14ac:dyDescent="0.2">
      <c r="A29" s="35" t="s">
        <v>114</v>
      </c>
      <c r="B29" s="1">
        <v>5987</v>
      </c>
    </row>
    <row r="30" spans="1:11" x14ac:dyDescent="0.2">
      <c r="A30" t="s">
        <v>11</v>
      </c>
      <c r="B30" s="1">
        <f>+B28/B29</f>
        <v>5618.8197309865091</v>
      </c>
    </row>
  </sheetData>
  <phoneticPr fontId="0" type="noConversion"/>
  <pageMargins left="0.49" right="0.55000000000000004" top="1" bottom="0.48" header="0.5" footer="0.5"/>
  <pageSetup scale="97" orientation="landscape" horizontalDpi="4294967294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30"/>
  <sheetViews>
    <sheetView zoomScale="80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42578125" style="1" customWidth="1"/>
    <col min="8" max="8" width="11.140625" style="1" customWidth="1"/>
    <col min="9" max="9" width="11" style="1" customWidth="1"/>
    <col min="10" max="10" width="11.85546875" style="1" customWidth="1"/>
    <col min="11" max="11" width="14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Table'!B25</f>
        <v>70422085.540000007</v>
      </c>
      <c r="C9" s="1">
        <f>'Master Expend Table'!C25</f>
        <v>985392.93</v>
      </c>
      <c r="D9" s="1">
        <f>'Master Expend Table'!D25</f>
        <v>1686165.82</v>
      </c>
      <c r="E9" s="1">
        <f>'Master Expend Table'!E25</f>
        <v>5318266.3600000003</v>
      </c>
      <c r="G9" s="1">
        <f>'Master Expend Table'!G25</f>
        <v>27799473.09</v>
      </c>
      <c r="H9" s="1">
        <f>'Master Expend Table'!H25</f>
        <v>11642186.48</v>
      </c>
      <c r="I9" s="1">
        <f>'Master Expend Table'!I25</f>
        <v>18420451.300000001</v>
      </c>
      <c r="J9" s="1">
        <f>'Master Expend Table'!J25</f>
        <v>15601210.300000001</v>
      </c>
      <c r="K9" s="1">
        <f>SUM(B9:J9)</f>
        <v>151875231.82000002</v>
      </c>
    </row>
    <row r="11" spans="1:11" x14ac:dyDescent="0.2">
      <c r="A11" t="s">
        <v>3</v>
      </c>
      <c r="B11" s="1">
        <f>(B9/($K9-$J9))*-$J$11</f>
        <v>8062209.9063311554</v>
      </c>
      <c r="C11" s="1">
        <f t="shared" ref="C11:I11" si="0">(C9/($K9-$J9))*-$J$11</f>
        <v>112811.83425563575</v>
      </c>
      <c r="D11" s="1">
        <f t="shared" si="0"/>
        <v>193039.19606299401</v>
      </c>
      <c r="E11" s="1">
        <f t="shared" si="0"/>
        <v>608856.99994990136</v>
      </c>
      <c r="G11" s="1">
        <f t="shared" si="0"/>
        <v>3182597.9821299165</v>
      </c>
      <c r="H11" s="1">
        <f t="shared" si="0"/>
        <v>1332845.3772800697</v>
      </c>
      <c r="I11" s="1">
        <f t="shared" si="0"/>
        <v>2108849.003990327</v>
      </c>
      <c r="J11" s="1">
        <f>-J9</f>
        <v>-15601210.300000001</v>
      </c>
      <c r="K11" s="1">
        <v>0</v>
      </c>
    </row>
    <row r="12" spans="1:11" x14ac:dyDescent="0.2">
      <c r="A12" t="s">
        <v>4</v>
      </c>
      <c r="B12" s="1">
        <f>+B9+B11</f>
        <v>78484295.446331158</v>
      </c>
      <c r="C12" s="1">
        <f t="shared" ref="C12:J12" si="1">+C9+C11</f>
        <v>1098204.7642556359</v>
      </c>
      <c r="D12" s="1">
        <f t="shared" si="1"/>
        <v>1879205.016062994</v>
      </c>
      <c r="E12" s="1">
        <f t="shared" si="1"/>
        <v>5927123.3599499017</v>
      </c>
      <c r="G12" s="1">
        <f t="shared" si="1"/>
        <v>30982071.072129916</v>
      </c>
      <c r="H12" s="1">
        <f t="shared" si="1"/>
        <v>12975031.85728007</v>
      </c>
      <c r="I12" s="1">
        <f t="shared" si="1"/>
        <v>20529300.303990327</v>
      </c>
      <c r="J12" s="1">
        <f t="shared" si="1"/>
        <v>0</v>
      </c>
      <c r="K12" s="1">
        <f>SUM(B12:J12)</f>
        <v>151875231.82000002</v>
      </c>
    </row>
    <row r="14" spans="1:11" x14ac:dyDescent="0.2">
      <c r="A14" t="s">
        <v>5</v>
      </c>
      <c r="B14" s="1">
        <f>B$9/($K$9-$J$9-$I$9)*-I14</f>
        <v>12267054.272392452</v>
      </c>
      <c r="C14" s="1">
        <f t="shared" ref="C14:H14" si="2">C$9/($K$9-$J$9-$I$9)*-$I$14</f>
        <v>171648.82947233738</v>
      </c>
      <c r="D14" s="1">
        <f t="shared" si="2"/>
        <v>293718.75978373818</v>
      </c>
      <c r="E14" s="1">
        <f t="shared" si="2"/>
        <v>926406.27685050305</v>
      </c>
      <c r="G14" s="1">
        <f t="shared" si="2"/>
        <v>4842481.4818249624</v>
      </c>
      <c r="H14" s="1">
        <f t="shared" si="2"/>
        <v>2027990.6836663336</v>
      </c>
      <c r="I14" s="1">
        <f>-I12</f>
        <v>-20529300.303990327</v>
      </c>
      <c r="K14" s="1">
        <v>0</v>
      </c>
    </row>
    <row r="15" spans="1:11" x14ac:dyDescent="0.2">
      <c r="A15" t="s">
        <v>4</v>
      </c>
      <c r="B15" s="1">
        <f>+B12+B14</f>
        <v>90751349.71872361</v>
      </c>
      <c r="C15" s="1">
        <f>+C12+C14</f>
        <v>1269853.5937279733</v>
      </c>
      <c r="D15" s="1">
        <f>+D12+D14</f>
        <v>2172923.7758467323</v>
      </c>
      <c r="E15" s="1">
        <f>+E12+E14</f>
        <v>6853529.6368004046</v>
      </c>
      <c r="G15" s="1">
        <f>+G12+G14</f>
        <v>35824552.553954877</v>
      </c>
      <c r="H15" s="1">
        <f>+H12+H14</f>
        <v>15003022.540946404</v>
      </c>
      <c r="I15" s="1">
        <f>+I12+I14</f>
        <v>0</v>
      </c>
      <c r="J15" s="1">
        <f>+J12+J14</f>
        <v>0</v>
      </c>
      <c r="K15" s="1">
        <f>SUM(B15:J15)</f>
        <v>151875231.81999999</v>
      </c>
    </row>
    <row r="17" spans="1:11" x14ac:dyDescent="0.2">
      <c r="A17" t="s">
        <v>6</v>
      </c>
      <c r="B17" s="1">
        <f>B$9/($K$9-$J$9-$I$9-$H$9)*-$H$17</f>
        <v>9947560.2287928145</v>
      </c>
      <c r="C17" s="1">
        <f>C$9/($K$9-$J$9-$I$9-$H$9)*-$H$17</f>
        <v>139192.91717985127</v>
      </c>
      <c r="D17" s="1">
        <f>D$9/($K$9-$J$9-$I$9-$H$9)*-$H$17</f>
        <v>238181.47278036186</v>
      </c>
      <c r="E17" s="1">
        <f>E$9/($K$9-$J$9-$I$9-$H$9)*-$H$17</f>
        <v>751238.40089645155</v>
      </c>
      <c r="G17" s="1">
        <f>G$9/($K$9-$J$9-$I$9-$H$9)*-$H$17</f>
        <v>3926849.521296924</v>
      </c>
      <c r="H17" s="1">
        <f>-H15</f>
        <v>-15003022.540946404</v>
      </c>
      <c r="K17" s="1">
        <v>0</v>
      </c>
    </row>
    <row r="18" spans="1:11" x14ac:dyDescent="0.2">
      <c r="A18" t="s">
        <v>4</v>
      </c>
      <c r="B18" s="1">
        <f>+B15+B17</f>
        <v>100698909.94751643</v>
      </c>
      <c r="C18" s="1">
        <f>+C15+C17</f>
        <v>1409046.5109078246</v>
      </c>
      <c r="D18" s="1">
        <f>+D15+D17</f>
        <v>2411105.2486270941</v>
      </c>
      <c r="E18" s="1">
        <f>+E15+E17</f>
        <v>7604768.0376968561</v>
      </c>
      <c r="G18" s="1">
        <f>+G15+G17</f>
        <v>39751402.075251803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151875231.81999999</v>
      </c>
    </row>
    <row r="20" spans="1:11" x14ac:dyDescent="0.2">
      <c r="A20" t="s">
        <v>7</v>
      </c>
      <c r="B20" s="1">
        <f>B$9/($K$9-$J$9-$I$9-$H$9-$G$9)*-$G$20</f>
        <v>35700910.921220057</v>
      </c>
      <c r="C20" s="1">
        <f>C$9/($K$9-$J$9-$I$9-$H$9-$G$9)*-$G$20</f>
        <v>499551.02787105023</v>
      </c>
      <c r="D20" s="1">
        <f>D$9/($K$9-$J$9-$I$9-$H$9-$G$9)*-$G$20</f>
        <v>854812.16974231019</v>
      </c>
      <c r="E20" s="1">
        <f>E$9/($K$9-$J$9-$I$9-$H$9-$G$9)*-$G$20</f>
        <v>2696127.9564183895</v>
      </c>
      <c r="G20" s="1">
        <f>-G18</f>
        <v>-39751402.075251803</v>
      </c>
      <c r="K20" s="1">
        <f>SUM(B20:J20)</f>
        <v>0</v>
      </c>
    </row>
    <row r="22" spans="1:11" x14ac:dyDescent="0.2">
      <c r="A22" t="s">
        <v>8</v>
      </c>
      <c r="B22" s="1">
        <f>+B20+B18</f>
        <v>136399820.86873648</v>
      </c>
      <c r="C22" s="1">
        <f t="shared" ref="C22:K22" si="3">+C20+C18</f>
        <v>1908597.5387788748</v>
      </c>
      <c r="D22" s="1">
        <f t="shared" si="3"/>
        <v>3265917.418369404</v>
      </c>
      <c r="E22" s="1">
        <f t="shared" si="3"/>
        <v>10300895.994115245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151875231.81999999</v>
      </c>
    </row>
    <row r="27" spans="1:11" x14ac:dyDescent="0.2">
      <c r="A27" t="s">
        <v>9</v>
      </c>
      <c r="B27" s="1">
        <f>+B9</f>
        <v>70422085.540000007</v>
      </c>
    </row>
    <row r="28" spans="1:11" x14ac:dyDescent="0.2">
      <c r="A28" t="s">
        <v>10</v>
      </c>
      <c r="B28" s="1">
        <f>+B22-B27</f>
        <v>65977735.328736469</v>
      </c>
    </row>
    <row r="29" spans="1:11" x14ac:dyDescent="0.2">
      <c r="A29" s="35" t="s">
        <v>114</v>
      </c>
      <c r="B29" s="1">
        <v>14180</v>
      </c>
    </row>
    <row r="30" spans="1:11" x14ac:dyDescent="0.2">
      <c r="A30" t="s">
        <v>11</v>
      </c>
      <c r="B30" s="1">
        <f>+B28/B29</f>
        <v>4652.8727312226001</v>
      </c>
    </row>
  </sheetData>
  <phoneticPr fontId="0" type="noConversion"/>
  <pageMargins left="0.52" right="0.55000000000000004" top="1" bottom="1" header="0.5" footer="0.5"/>
  <pageSetup scale="97" orientation="landscape" horizontalDpi="4294967294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Table'!B26</f>
        <v>10479979.85</v>
      </c>
      <c r="C9" s="1">
        <f>'Master Expend Table'!C26</f>
        <v>0</v>
      </c>
      <c r="D9" s="1">
        <f>'Master Expend Table'!D26</f>
        <v>1240376.1499999999</v>
      </c>
      <c r="E9" s="1">
        <f>'Master Expend Table'!E26</f>
        <v>157121.92000000001</v>
      </c>
      <c r="G9" s="1">
        <f>'Master Expend Table'!G26</f>
        <v>2706565.7</v>
      </c>
      <c r="H9" s="1">
        <f>'Master Expend Table'!H26</f>
        <v>3200391.61</v>
      </c>
      <c r="I9" s="1">
        <f>'Master Expend Table'!I26</f>
        <v>3017769.61</v>
      </c>
      <c r="J9" s="1">
        <f>'Master Expend Table'!J26</f>
        <v>2331036.1800000002</v>
      </c>
      <c r="K9" s="1">
        <f>SUM(B9:J9)</f>
        <v>23133241.02</v>
      </c>
    </row>
    <row r="11" spans="1:11" x14ac:dyDescent="0.2">
      <c r="A11" t="s">
        <v>3</v>
      </c>
      <c r="B11" s="1">
        <f>(B9/($K9-$J9))*-$J$11</f>
        <v>1174356.8714911749</v>
      </c>
      <c r="C11" s="1">
        <f t="shared" ref="C11:I11" si="0">(C9/($K9-$J9))*-$J$11</f>
        <v>0</v>
      </c>
      <c r="D11" s="1">
        <f t="shared" si="0"/>
        <v>138993.03966565052</v>
      </c>
      <c r="E11" s="1">
        <f t="shared" si="0"/>
        <v>17606.637517903881</v>
      </c>
      <c r="G11" s="1">
        <f t="shared" si="0"/>
        <v>303290.08962143393</v>
      </c>
      <c r="H11" s="1">
        <f t="shared" si="0"/>
        <v>358626.82299586711</v>
      </c>
      <c r="I11" s="1">
        <f t="shared" si="0"/>
        <v>338162.71870796988</v>
      </c>
      <c r="J11" s="1">
        <f>-J9</f>
        <v>-2331036.1800000002</v>
      </c>
      <c r="K11" s="1">
        <v>0</v>
      </c>
    </row>
    <row r="12" spans="1:11" x14ac:dyDescent="0.2">
      <c r="A12" t="s">
        <v>4</v>
      </c>
      <c r="B12" s="1">
        <f>+B9+B11</f>
        <v>11654336.721491175</v>
      </c>
      <c r="C12" s="1">
        <f t="shared" ref="C12:J12" si="1">+C9+C11</f>
        <v>0</v>
      </c>
      <c r="D12" s="1">
        <f t="shared" si="1"/>
        <v>1379369.1896656505</v>
      </c>
      <c r="E12" s="1">
        <f t="shared" si="1"/>
        <v>174728.55751790389</v>
      </c>
      <c r="G12" s="1">
        <f t="shared" si="1"/>
        <v>3009855.7896214342</v>
      </c>
      <c r="H12" s="1">
        <f t="shared" si="1"/>
        <v>3559018.432995867</v>
      </c>
      <c r="I12" s="1">
        <f t="shared" si="1"/>
        <v>3355932.3287079697</v>
      </c>
      <c r="J12" s="1">
        <f t="shared" si="1"/>
        <v>0</v>
      </c>
      <c r="K12" s="1">
        <f>SUM(B12:J12)</f>
        <v>23133241.020000003</v>
      </c>
    </row>
    <row r="14" spans="1:11" x14ac:dyDescent="0.2">
      <c r="A14" t="s">
        <v>5</v>
      </c>
      <c r="B14" s="1">
        <f>B$9/($K$9-$J$9-$I$9)*-I14</f>
        <v>1977577.7373855405</v>
      </c>
      <c r="C14" s="1">
        <f t="shared" ref="C14:H14" si="2">C$9/($K$9-$J$9-$I$9)*-$I$14</f>
        <v>0</v>
      </c>
      <c r="D14" s="1">
        <f t="shared" si="2"/>
        <v>234059.63516465997</v>
      </c>
      <c r="E14" s="1">
        <f t="shared" si="2"/>
        <v>29648.989358244995</v>
      </c>
      <c r="G14" s="1">
        <f t="shared" si="2"/>
        <v>510730.37827370566</v>
      </c>
      <c r="H14" s="1">
        <f t="shared" si="2"/>
        <v>603915.58852581843</v>
      </c>
      <c r="I14" s="1">
        <f>-I12</f>
        <v>-3355932.3287079697</v>
      </c>
      <c r="K14" s="1">
        <v>0</v>
      </c>
    </row>
    <row r="15" spans="1:11" x14ac:dyDescent="0.2">
      <c r="A15" t="s">
        <v>4</v>
      </c>
      <c r="B15" s="1">
        <f>+B12+B14</f>
        <v>13631914.458876716</v>
      </c>
      <c r="C15" s="1">
        <f>+C12+C14</f>
        <v>0</v>
      </c>
      <c r="D15" s="1">
        <f>+D12+D14</f>
        <v>1613428.8248303104</v>
      </c>
      <c r="E15" s="1">
        <f>+E12+E14</f>
        <v>204377.54687614887</v>
      </c>
      <c r="G15" s="1">
        <f>+G12+G14</f>
        <v>3520586.1678951397</v>
      </c>
      <c r="H15" s="1">
        <f>+H12+H14</f>
        <v>4162934.0215216856</v>
      </c>
      <c r="I15" s="1">
        <f>+I12+I14</f>
        <v>0</v>
      </c>
      <c r="J15" s="1">
        <f>+J12+J14</f>
        <v>0</v>
      </c>
      <c r="K15" s="1">
        <f>SUM(B15:J15)</f>
        <v>23133241.020000003</v>
      </c>
    </row>
    <row r="17" spans="1:11" x14ac:dyDescent="0.2">
      <c r="A17" t="s">
        <v>6</v>
      </c>
      <c r="B17" s="1">
        <f>B$9/($K$9-$J$9-$I$9-$H$9)*-$H$17</f>
        <v>2991451.877077335</v>
      </c>
      <c r="C17" s="1">
        <f>C$9/($K$9-$J$9-$I$9-$H$9)*-$H$17</f>
        <v>0</v>
      </c>
      <c r="D17" s="1">
        <f>D$9/($K$9-$J$9-$I$9-$H$9)*-$H$17</f>
        <v>354058.46340434114</v>
      </c>
      <c r="E17" s="1">
        <f>E$9/($K$9-$J$9-$I$9-$H$9)*-$H$17</f>
        <v>44849.576930626907</v>
      </c>
      <c r="G17" s="1">
        <f>G$9/($K$9-$J$9-$I$9-$H$9)*-$H$17</f>
        <v>772574.10410938261</v>
      </c>
      <c r="H17" s="1">
        <f>-H15</f>
        <v>-4162934.0215216856</v>
      </c>
      <c r="K17" s="1">
        <v>0</v>
      </c>
    </row>
    <row r="18" spans="1:11" x14ac:dyDescent="0.2">
      <c r="A18" t="s">
        <v>4</v>
      </c>
      <c r="B18" s="1">
        <f>+B15+B17</f>
        <v>16623366.335954051</v>
      </c>
      <c r="C18" s="1">
        <f>+C15+C17</f>
        <v>0</v>
      </c>
      <c r="D18" s="1">
        <f>+D15+D17</f>
        <v>1967487.2882346516</v>
      </c>
      <c r="E18" s="1">
        <f>+E15+E17</f>
        <v>249227.12380677578</v>
      </c>
      <c r="G18" s="1">
        <f>+G15+G17</f>
        <v>4293160.2720045224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23133241.02</v>
      </c>
    </row>
    <row r="20" spans="1:11" x14ac:dyDescent="0.2">
      <c r="A20" t="s">
        <v>7</v>
      </c>
      <c r="B20" s="1">
        <f>B$9/($K$9-$J$9-$I$9-$H$9-$G$9)*-$G$20</f>
        <v>3788029.1966417651</v>
      </c>
      <c r="C20" s="1">
        <f>C$9/($K$9-$J$9-$I$9-$H$9-$G$9)*-$G$20</f>
        <v>0</v>
      </c>
      <c r="D20" s="1">
        <f>D$9/($K$9-$J$9-$I$9-$H$9-$G$9)*-$G$20</f>
        <v>448338.7504812908</v>
      </c>
      <c r="E20" s="1">
        <f>E$9/($K$9-$J$9-$I$9-$H$9-$G$9)*-$G$20</f>
        <v>56792.324881465465</v>
      </c>
      <c r="G20" s="1">
        <f>-G18</f>
        <v>-4293160.2720045224</v>
      </c>
      <c r="K20" s="1">
        <f>SUM(B20:J20)</f>
        <v>0</v>
      </c>
    </row>
    <row r="22" spans="1:11" x14ac:dyDescent="0.2">
      <c r="A22" t="s">
        <v>8</v>
      </c>
      <c r="B22" s="1">
        <f>+B20+B18</f>
        <v>20411395.532595817</v>
      </c>
      <c r="C22" s="1">
        <f t="shared" ref="C22:K22" si="3">+C20+C18</f>
        <v>0</v>
      </c>
      <c r="D22" s="1">
        <f t="shared" si="3"/>
        <v>2415826.0387159423</v>
      </c>
      <c r="E22" s="1">
        <f t="shared" si="3"/>
        <v>306019.44868824125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23133241.02</v>
      </c>
    </row>
    <row r="27" spans="1:11" x14ac:dyDescent="0.2">
      <c r="A27" t="s">
        <v>9</v>
      </c>
      <c r="B27" s="1">
        <f>+B9</f>
        <v>10479979.85</v>
      </c>
    </row>
    <row r="28" spans="1:11" x14ac:dyDescent="0.2">
      <c r="A28" t="s">
        <v>10</v>
      </c>
      <c r="B28" s="1">
        <f>+B22-B27</f>
        <v>9931415.6825958174</v>
      </c>
    </row>
    <row r="29" spans="1:11" x14ac:dyDescent="0.2">
      <c r="A29" s="35" t="s">
        <v>114</v>
      </c>
      <c r="B29" s="1">
        <v>2099</v>
      </c>
    </row>
    <row r="30" spans="1:11" x14ac:dyDescent="0.2">
      <c r="A30" t="s">
        <v>11</v>
      </c>
      <c r="B30" s="1">
        <f>+B28/B29</f>
        <v>4731.4986577397895</v>
      </c>
    </row>
  </sheetData>
  <phoneticPr fontId="0" type="noConversion"/>
  <pageMargins left="0.44" right="0.55000000000000004" top="1" bottom="0.53" header="0.5" footer="0.5"/>
  <pageSetup scale="97" orientation="landscape" horizontalDpi="4294967294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Table'!B28</f>
        <v>25743144.129999999</v>
      </c>
      <c r="C9" s="1">
        <f>'Master Expend Table'!C28</f>
        <v>4767.5200000000004</v>
      </c>
      <c r="D9" s="1">
        <f>'Master Expend Table'!D28</f>
        <v>1354395.53</v>
      </c>
      <c r="E9" s="1">
        <f>'Master Expend Table'!E28</f>
        <v>0</v>
      </c>
      <c r="G9" s="1">
        <f>'Master Expend Table'!G28</f>
        <v>9303028.6500000004</v>
      </c>
      <c r="H9" s="1">
        <f>'Master Expend Table'!H28</f>
        <v>4688010.71</v>
      </c>
      <c r="I9" s="1">
        <f>'Master Expend Table'!I28</f>
        <v>7450185.8200000003</v>
      </c>
      <c r="J9" s="1">
        <f>'Master Expend Table'!J28</f>
        <v>5718672.75</v>
      </c>
      <c r="K9" s="1">
        <f>SUM(B9:J9)</f>
        <v>54262205.109999999</v>
      </c>
    </row>
    <row r="11" spans="1:11" x14ac:dyDescent="0.2">
      <c r="A11" t="s">
        <v>3</v>
      </c>
      <c r="B11" s="1">
        <f>(B9/($K9-$J9))*-$J$11</f>
        <v>3032672.112605887</v>
      </c>
      <c r="C11" s="1">
        <f t="shared" ref="C11:I11" si="0">(C9/($K9-$J9))*-$J$11</f>
        <v>561.63788219799017</v>
      </c>
      <c r="D11" s="1">
        <f t="shared" si="0"/>
        <v>159554.618990088</v>
      </c>
      <c r="E11" s="1">
        <f t="shared" si="0"/>
        <v>0</v>
      </c>
      <c r="G11" s="1">
        <f t="shared" si="0"/>
        <v>1095943.6581311093</v>
      </c>
      <c r="H11" s="1">
        <f t="shared" si="0"/>
        <v>552271.28714423766</v>
      </c>
      <c r="I11" s="1">
        <f t="shared" si="0"/>
        <v>877669.43524647958</v>
      </c>
      <c r="J11" s="1">
        <f>-J9</f>
        <v>-5718672.75</v>
      </c>
      <c r="K11" s="1">
        <v>0</v>
      </c>
    </row>
    <row r="12" spans="1:11" x14ac:dyDescent="0.2">
      <c r="A12" t="s">
        <v>4</v>
      </c>
      <c r="B12" s="1">
        <f>+B9+B11</f>
        <v>28775816.242605887</v>
      </c>
      <c r="C12" s="1">
        <f t="shared" ref="C12:J12" si="1">+C9+C11</f>
        <v>5329.1578821979911</v>
      </c>
      <c r="D12" s="1">
        <f t="shared" si="1"/>
        <v>1513950.1489900881</v>
      </c>
      <c r="E12" s="1">
        <f t="shared" si="1"/>
        <v>0</v>
      </c>
      <c r="G12" s="1">
        <f t="shared" si="1"/>
        <v>10398972.30813111</v>
      </c>
      <c r="H12" s="1">
        <f t="shared" si="1"/>
        <v>5240281.9971442372</v>
      </c>
      <c r="I12" s="1">
        <f t="shared" si="1"/>
        <v>8327855.25524648</v>
      </c>
      <c r="J12" s="1">
        <f t="shared" si="1"/>
        <v>0</v>
      </c>
      <c r="K12" s="1">
        <f>SUM(B12:J12)</f>
        <v>54262205.110000007</v>
      </c>
    </row>
    <row r="14" spans="1:11" x14ac:dyDescent="0.2">
      <c r="A14" t="s">
        <v>5</v>
      </c>
      <c r="B14" s="1">
        <f>B$9/($K$9-$J$9-$I$9)*-I14</f>
        <v>5217028.9397313241</v>
      </c>
      <c r="C14" s="1">
        <f t="shared" ref="C14:H14" si="2">C$9/($K$9-$J$9-$I$9)*-$I$14</f>
        <v>966.17140801238577</v>
      </c>
      <c r="D14" s="1">
        <f t="shared" si="2"/>
        <v>274477.76542642328</v>
      </c>
      <c r="E14" s="1">
        <f t="shared" si="2"/>
        <v>0</v>
      </c>
      <c r="G14" s="1">
        <f t="shared" si="2"/>
        <v>1885324.0866425447</v>
      </c>
      <c r="H14" s="1">
        <f t="shared" si="2"/>
        <v>950058.29203817586</v>
      </c>
      <c r="I14" s="1">
        <f>-I12</f>
        <v>-8327855.25524648</v>
      </c>
      <c r="K14" s="1">
        <v>0</v>
      </c>
    </row>
    <row r="15" spans="1:11" x14ac:dyDescent="0.2">
      <c r="A15" t="s">
        <v>4</v>
      </c>
      <c r="B15" s="1">
        <f>+B12+B14</f>
        <v>33992845.18233721</v>
      </c>
      <c r="C15" s="1">
        <f>+C12+C14</f>
        <v>6295.3292902103767</v>
      </c>
      <c r="D15" s="1">
        <f>+D12+D14</f>
        <v>1788427.9144165115</v>
      </c>
      <c r="E15" s="1">
        <f>+E12+E14</f>
        <v>0</v>
      </c>
      <c r="G15" s="1">
        <f>+G12+G14</f>
        <v>12284296.394773655</v>
      </c>
      <c r="H15" s="1">
        <f>+H12+H14</f>
        <v>6190340.2891824134</v>
      </c>
      <c r="I15" s="1">
        <f>+I12+I14</f>
        <v>0</v>
      </c>
      <c r="J15" s="1">
        <f>+J12+J14</f>
        <v>0</v>
      </c>
      <c r="K15" s="1">
        <f>SUM(B15:J15)</f>
        <v>54262205.109999999</v>
      </c>
    </row>
    <row r="17" spans="1:11" x14ac:dyDescent="0.2">
      <c r="A17" t="s">
        <v>6</v>
      </c>
      <c r="B17" s="1">
        <f>B$9/($K$9-$J$9-$I$9-$H$9)*-$H$17</f>
        <v>4377347.9531219797</v>
      </c>
      <c r="C17" s="1">
        <f>C$9/($K$9-$J$9-$I$9-$H$9)*-$H$17</f>
        <v>810.66608678728244</v>
      </c>
      <c r="D17" s="1">
        <f>D$9/($K$9-$J$9-$I$9-$H$9)*-$H$17</f>
        <v>230300.55967616022</v>
      </c>
      <c r="E17" s="1">
        <f>E$9/($K$9-$J$9-$I$9-$H$9)*-$H$17</f>
        <v>0</v>
      </c>
      <c r="G17" s="1">
        <f>G$9/($K$9-$J$9-$I$9-$H$9)*-$H$17</f>
        <v>1581881.1102974869</v>
      </c>
      <c r="H17" s="1">
        <f>-H15</f>
        <v>-6190340.2891824134</v>
      </c>
      <c r="K17" s="1">
        <v>0</v>
      </c>
    </row>
    <row r="18" spans="1:11" x14ac:dyDescent="0.2">
      <c r="A18" t="s">
        <v>4</v>
      </c>
      <c r="B18" s="1">
        <f>+B15+B17</f>
        <v>38370193.135459192</v>
      </c>
      <c r="C18" s="1">
        <f>+C15+C17</f>
        <v>7105.9953769976592</v>
      </c>
      <c r="D18" s="1">
        <f>+D15+D17</f>
        <v>2018728.4740926716</v>
      </c>
      <c r="E18" s="1">
        <f>+E15+E17</f>
        <v>0</v>
      </c>
      <c r="G18" s="1">
        <f>+G15+G17</f>
        <v>13866177.505071141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54262205.109999999</v>
      </c>
    </row>
    <row r="20" spans="1:11" x14ac:dyDescent="0.2">
      <c r="A20" t="s">
        <v>7</v>
      </c>
      <c r="B20" s="1">
        <f>B$9/($K$9-$J$9-$I$9-$H$9-$G$9)*-$G$20</f>
        <v>13170797.735944271</v>
      </c>
      <c r="C20" s="1">
        <f>C$9/($K$9-$J$9-$I$9-$H$9-$G$9)*-$G$20</f>
        <v>2439.1753122686277</v>
      </c>
      <c r="D20" s="1">
        <f>D$9/($K$9-$J$9-$I$9-$H$9-$G$9)*-$G$20</f>
        <v>692940.59381460026</v>
      </c>
      <c r="E20" s="1">
        <f>E$9/($K$9-$J$9-$I$9-$H$9-$G$9)*-$G$20</f>
        <v>0</v>
      </c>
      <c r="G20" s="1">
        <f>-G18</f>
        <v>-13866177.505071141</v>
      </c>
      <c r="K20" s="1">
        <f>SUM(B20:J20)</f>
        <v>0</v>
      </c>
    </row>
    <row r="22" spans="1:11" x14ac:dyDescent="0.2">
      <c r="A22" t="s">
        <v>8</v>
      </c>
      <c r="B22" s="1">
        <f>+B20+B18</f>
        <v>51540990.871403463</v>
      </c>
      <c r="C22" s="1">
        <f t="shared" ref="C22:K22" si="3">+C20+C18</f>
        <v>9545.1706892662878</v>
      </c>
      <c r="D22" s="1">
        <f t="shared" si="3"/>
        <v>2711669.0679072719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54262205.109999999</v>
      </c>
    </row>
    <row r="27" spans="1:11" x14ac:dyDescent="0.2">
      <c r="A27" t="s">
        <v>9</v>
      </c>
      <c r="B27" s="1">
        <f>+B9</f>
        <v>25743144.129999999</v>
      </c>
    </row>
    <row r="28" spans="1:11" x14ac:dyDescent="0.2">
      <c r="A28" t="s">
        <v>10</v>
      </c>
      <c r="B28" s="1">
        <f>+B22-B27</f>
        <v>25797846.741403464</v>
      </c>
    </row>
    <row r="29" spans="1:11" x14ac:dyDescent="0.2">
      <c r="A29" s="35" t="s">
        <v>114</v>
      </c>
      <c r="B29" s="1">
        <v>6740</v>
      </c>
    </row>
    <row r="30" spans="1:11" x14ac:dyDescent="0.2">
      <c r="A30" t="s">
        <v>11</v>
      </c>
      <c r="B30" s="1">
        <f>+B28/B29</f>
        <v>3827.573700504965</v>
      </c>
    </row>
  </sheetData>
  <phoneticPr fontId="0" type="noConversion"/>
  <pageMargins left="0.54" right="0.55000000000000004" top="1" bottom="0.57999999999999996" header="0.5" footer="0.5"/>
  <pageSetup scale="97" orientation="landscape" horizontalDpi="4294967294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Table'!B29</f>
        <v>18736459.600000001</v>
      </c>
      <c r="C9" s="1">
        <f>'Master Expend Table'!C29</f>
        <v>1244.67</v>
      </c>
      <c r="D9" s="1">
        <f>'Master Expend Table'!D29</f>
        <v>652778.71</v>
      </c>
      <c r="E9" s="1">
        <f>'Master Expend Table'!E29</f>
        <v>0</v>
      </c>
      <c r="G9" s="1">
        <f>'Master Expend Table'!G29</f>
        <v>6758092.5300000003</v>
      </c>
      <c r="H9" s="1">
        <f>'Master Expend Table'!H29</f>
        <v>4042150.85</v>
      </c>
      <c r="I9" s="1">
        <f>'Master Expend Table'!I29</f>
        <v>4789183.97</v>
      </c>
      <c r="J9" s="1">
        <f>'Master Expend Table'!J29</f>
        <v>5155448.9000000004</v>
      </c>
      <c r="K9" s="1">
        <f>SUM(B9:J9)</f>
        <v>40135359.230000004</v>
      </c>
    </row>
    <row r="11" spans="1:11" x14ac:dyDescent="0.2">
      <c r="A11" t="s">
        <v>3</v>
      </c>
      <c r="B11" s="1">
        <f>(B9/($K9-$J9))*-$J$11</f>
        <v>2761438.1833297983</v>
      </c>
      <c r="C11" s="1">
        <f t="shared" ref="C11:I11" si="0">(C9/($K9-$J9))*-$J$11</f>
        <v>183.44336854573635</v>
      </c>
      <c r="D11" s="1">
        <f t="shared" si="0"/>
        <v>96208.573740300912</v>
      </c>
      <c r="E11" s="1">
        <f t="shared" si="0"/>
        <v>0</v>
      </c>
      <c r="G11" s="1">
        <f t="shared" si="0"/>
        <v>996028.87403647369</v>
      </c>
      <c r="H11" s="1">
        <f t="shared" si="0"/>
        <v>595744.87060346222</v>
      </c>
      <c r="I11" s="1">
        <f t="shared" si="0"/>
        <v>705844.95492141903</v>
      </c>
      <c r="J11" s="1">
        <f>-J9</f>
        <v>-5155448.9000000004</v>
      </c>
      <c r="K11" s="1">
        <v>0</v>
      </c>
    </row>
    <row r="12" spans="1:11" x14ac:dyDescent="0.2">
      <c r="A12" t="s">
        <v>4</v>
      </c>
      <c r="B12" s="1">
        <f>+B9+B11</f>
        <v>21497897.7833298</v>
      </c>
      <c r="C12" s="1">
        <f t="shared" ref="C12:J12" si="1">+C9+C11</f>
        <v>1428.1133685457364</v>
      </c>
      <c r="D12" s="1">
        <f t="shared" si="1"/>
        <v>748987.28374030092</v>
      </c>
      <c r="E12" s="1">
        <f t="shared" si="1"/>
        <v>0</v>
      </c>
      <c r="G12" s="1">
        <f t="shared" si="1"/>
        <v>7754121.4040364735</v>
      </c>
      <c r="H12" s="1">
        <f t="shared" si="1"/>
        <v>4637895.7206034623</v>
      </c>
      <c r="I12" s="1">
        <f t="shared" si="1"/>
        <v>5495028.9249214185</v>
      </c>
      <c r="J12" s="1">
        <f t="shared" si="1"/>
        <v>0</v>
      </c>
      <c r="K12" s="1">
        <f>SUM(B12:J12)</f>
        <v>40135359.229999997</v>
      </c>
    </row>
    <row r="14" spans="1:11" x14ac:dyDescent="0.2">
      <c r="A14" t="s">
        <v>5</v>
      </c>
      <c r="B14" s="1">
        <f>B$9/($K$9-$J$9-$I$9)*-I14</f>
        <v>3410232.209220076</v>
      </c>
      <c r="C14" s="1">
        <f t="shared" ref="C14:H14" si="2">C$9/($K$9-$J$9-$I$9)*-$I$14</f>
        <v>226.54299768831203</v>
      </c>
      <c r="D14" s="1">
        <f t="shared" si="2"/>
        <v>118812.57344557937</v>
      </c>
      <c r="E14" s="1">
        <f t="shared" si="2"/>
        <v>0</v>
      </c>
      <c r="G14" s="1">
        <f t="shared" si="2"/>
        <v>1230043.7388232935</v>
      </c>
      <c r="H14" s="1">
        <f t="shared" si="2"/>
        <v>735713.8604347806</v>
      </c>
      <c r="I14" s="1">
        <f>-I12</f>
        <v>-5495028.9249214185</v>
      </c>
      <c r="K14" s="1">
        <v>0</v>
      </c>
    </row>
    <row r="15" spans="1:11" x14ac:dyDescent="0.2">
      <c r="A15" t="s">
        <v>4</v>
      </c>
      <c r="B15" s="1">
        <f>+B12+B14</f>
        <v>24908129.992549874</v>
      </c>
      <c r="C15" s="1">
        <f>+C12+C14</f>
        <v>1654.6563662340484</v>
      </c>
      <c r="D15" s="1">
        <f>+D12+D14</f>
        <v>867799.8571858803</v>
      </c>
      <c r="E15" s="1">
        <f>+E12+E14</f>
        <v>0</v>
      </c>
      <c r="G15" s="1">
        <f>+G12+G14</f>
        <v>8984165.1428597663</v>
      </c>
      <c r="H15" s="1">
        <f>+H12+H14</f>
        <v>5373609.5810382431</v>
      </c>
      <c r="I15" s="1">
        <f>+I12+I14</f>
        <v>0</v>
      </c>
      <c r="J15" s="1">
        <f>+J12+J14</f>
        <v>0</v>
      </c>
      <c r="K15" s="1">
        <f>SUM(B15:J15)</f>
        <v>40135359.229999997</v>
      </c>
    </row>
    <row r="17" spans="1:11" x14ac:dyDescent="0.2">
      <c r="A17" t="s">
        <v>6</v>
      </c>
      <c r="B17" s="1">
        <f>B$9/($K$9-$J$9-$I$9-$H$9)*-$H$17</f>
        <v>3850397.8460620916</v>
      </c>
      <c r="C17" s="1">
        <f>C$9/($K$9-$J$9-$I$9-$H$9)*-$H$17</f>
        <v>255.78336512721449</v>
      </c>
      <c r="D17" s="1">
        <f>D$9/($K$9-$J$9-$I$9-$H$9)*-$H$17</f>
        <v>134147.95498180404</v>
      </c>
      <c r="E17" s="1">
        <f>E$9/($K$9-$J$9-$I$9-$H$9)*-$H$17</f>
        <v>0</v>
      </c>
      <c r="G17" s="1">
        <f>G$9/($K$9-$J$9-$I$9-$H$9)*-$H$17</f>
        <v>1388807.9966292197</v>
      </c>
      <c r="H17" s="1">
        <f>-H15</f>
        <v>-5373609.5810382431</v>
      </c>
      <c r="K17" s="1">
        <v>0</v>
      </c>
    </row>
    <row r="18" spans="1:11" x14ac:dyDescent="0.2">
      <c r="A18" t="s">
        <v>4</v>
      </c>
      <c r="B18" s="1">
        <f>+B15+B17</f>
        <v>28758527.838611964</v>
      </c>
      <c r="C18" s="1">
        <f>+C15+C17</f>
        <v>1910.4397313612628</v>
      </c>
      <c r="D18" s="1">
        <f>+D15+D17</f>
        <v>1001947.8121676843</v>
      </c>
      <c r="E18" s="1">
        <f>+E15+E17</f>
        <v>0</v>
      </c>
      <c r="G18" s="1">
        <f>+G15+G17</f>
        <v>10372973.139488986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40135359.229999997</v>
      </c>
    </row>
    <row r="20" spans="1:11" x14ac:dyDescent="0.2">
      <c r="A20" t="s">
        <v>7</v>
      </c>
      <c r="B20" s="1">
        <f>B$9/($K$9-$J$9-$I$9-$H$9-$G$9)*-$G$20</f>
        <v>10023102.176484339</v>
      </c>
      <c r="C20" s="1">
        <f>C$9/($K$9-$J$9-$I$9-$H$9-$G$9)*-$G$20</f>
        <v>665.83841623978742</v>
      </c>
      <c r="D20" s="1">
        <f>D$9/($K$9-$J$9-$I$9-$H$9-$G$9)*-$G$20</f>
        <v>349205.12458840612</v>
      </c>
      <c r="E20" s="1">
        <f>E$9/($K$9-$J$9-$I$9-$H$9-$G$9)*-$G$20</f>
        <v>0</v>
      </c>
      <c r="G20" s="1">
        <f>-G18</f>
        <v>-10372973.139488986</v>
      </c>
      <c r="K20" s="1">
        <f>SUM(B20:J20)</f>
        <v>0</v>
      </c>
    </row>
    <row r="22" spans="1:11" x14ac:dyDescent="0.2">
      <c r="A22" t="s">
        <v>8</v>
      </c>
      <c r="B22" s="1">
        <f>+B20+B18</f>
        <v>38781630.015096307</v>
      </c>
      <c r="C22" s="1">
        <f t="shared" ref="C22:K22" si="3">+C20+C18</f>
        <v>2576.2781476010505</v>
      </c>
      <c r="D22" s="1">
        <f t="shared" si="3"/>
        <v>1351152.9367560905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40135359.229999997</v>
      </c>
    </row>
    <row r="27" spans="1:11" x14ac:dyDescent="0.2">
      <c r="A27" t="s">
        <v>9</v>
      </c>
      <c r="B27" s="1">
        <f>+B9</f>
        <v>18736459.600000001</v>
      </c>
    </row>
    <row r="28" spans="1:11" x14ac:dyDescent="0.2">
      <c r="A28" t="s">
        <v>10</v>
      </c>
      <c r="B28" s="1">
        <f>+B22-B27</f>
        <v>20045170.415096305</v>
      </c>
    </row>
    <row r="29" spans="1:11" x14ac:dyDescent="0.2">
      <c r="A29" s="35" t="s">
        <v>114</v>
      </c>
      <c r="B29" s="1">
        <v>4813</v>
      </c>
    </row>
    <row r="30" spans="1:11" x14ac:dyDescent="0.2">
      <c r="A30" t="s">
        <v>11</v>
      </c>
      <c r="B30" s="1">
        <f>+B28/B29</f>
        <v>4164.7975098891138</v>
      </c>
    </row>
  </sheetData>
  <phoneticPr fontId="0" type="noConversion"/>
  <pageMargins left="0.56000000000000005" right="0.55000000000000004" top="1" bottom="0.46" header="0.5" footer="0.5"/>
  <pageSetup scale="97" orientation="landscape" horizontalDpi="4294967294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0"/>
  <sheetViews>
    <sheetView zoomScale="75" workbookViewId="0">
      <selection activeCell="B29" sqref="B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42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Table'!B30</f>
        <v>19840844.109999999</v>
      </c>
      <c r="C9" s="1">
        <f>'Master Expend Table'!C30</f>
        <v>36522.18</v>
      </c>
      <c r="D9" s="1">
        <f>'Master Expend Table'!D30</f>
        <v>1315389.9300000002</v>
      </c>
      <c r="E9" s="1">
        <f>'Master Expend Table'!E30</f>
        <v>523203.31</v>
      </c>
      <c r="G9" s="1">
        <f>'Master Expend Table'!G30</f>
        <v>3982045.16</v>
      </c>
      <c r="H9" s="1">
        <f>'Master Expend Table'!H30</f>
        <v>5140658.78</v>
      </c>
      <c r="I9" s="1">
        <f>'Master Expend Table'!I30</f>
        <v>7152165.0999999996</v>
      </c>
      <c r="J9" s="1">
        <f>'Master Expend Table'!J30</f>
        <v>5177026.34</v>
      </c>
      <c r="K9" s="1">
        <f>SUM(B9:J9)</f>
        <v>43167854.909999996</v>
      </c>
    </row>
    <row r="11" spans="1:11" x14ac:dyDescent="0.2">
      <c r="A11" t="s">
        <v>3</v>
      </c>
      <c r="B11" s="1">
        <f>(B9/($K9-$J9))*-$J$11</f>
        <v>2703720.251219145</v>
      </c>
      <c r="C11" s="1">
        <f t="shared" ref="C11:I11" si="0">(C9/($K9-$J9))*-$J$11</f>
        <v>4976.8929757833193</v>
      </c>
      <c r="D11" s="1">
        <f t="shared" si="0"/>
        <v>179248.74427082701</v>
      </c>
      <c r="E11" s="1">
        <f t="shared" si="0"/>
        <v>71297.137203901366</v>
      </c>
      <c r="G11" s="1">
        <f t="shared" si="0"/>
        <v>542634.98471493111</v>
      </c>
      <c r="H11" s="1">
        <f t="shared" si="0"/>
        <v>700519.75465541345</v>
      </c>
      <c r="I11" s="1">
        <f t="shared" si="0"/>
        <v>974628.57495999953</v>
      </c>
      <c r="J11" s="1">
        <f>-J9</f>
        <v>-5177026.34</v>
      </c>
      <c r="K11" s="1">
        <v>0</v>
      </c>
    </row>
    <row r="12" spans="1:11" x14ac:dyDescent="0.2">
      <c r="A12" t="s">
        <v>4</v>
      </c>
      <c r="B12" s="1">
        <f>+B9+B11</f>
        <v>22544564.361219145</v>
      </c>
      <c r="C12" s="1">
        <f t="shared" ref="C12:J12" si="1">+C9+C11</f>
        <v>41499.072975783318</v>
      </c>
      <c r="D12" s="1">
        <f t="shared" si="1"/>
        <v>1494638.6742708271</v>
      </c>
      <c r="E12" s="1">
        <f t="shared" si="1"/>
        <v>594500.44720390136</v>
      </c>
      <c r="G12" s="1">
        <f t="shared" si="1"/>
        <v>4524680.144714931</v>
      </c>
      <c r="H12" s="1">
        <f t="shared" si="1"/>
        <v>5841178.5346554136</v>
      </c>
      <c r="I12" s="1">
        <f t="shared" si="1"/>
        <v>8126793.6749599995</v>
      </c>
      <c r="J12" s="1">
        <f t="shared" si="1"/>
        <v>0</v>
      </c>
      <c r="K12" s="1">
        <f>SUM(B12:J12)</f>
        <v>43167854.910000004</v>
      </c>
    </row>
    <row r="14" spans="1:11" x14ac:dyDescent="0.2">
      <c r="A14" t="s">
        <v>5</v>
      </c>
      <c r="B14" s="1">
        <f>B$9/($K$9-$J$9-$I$9)*-I14</f>
        <v>5228580.8876209185</v>
      </c>
      <c r="C14" s="1">
        <f t="shared" ref="C14:H14" si="2">C$9/($K$9-$J$9-$I$9)*-$I$14</f>
        <v>9624.5487975990636</v>
      </c>
      <c r="D14" s="1">
        <f t="shared" si="2"/>
        <v>346639.6192438518</v>
      </c>
      <c r="E14" s="1">
        <f t="shared" si="2"/>
        <v>137877.74410400336</v>
      </c>
      <c r="G14" s="1">
        <f t="shared" si="2"/>
        <v>1049372.9551922467</v>
      </c>
      <c r="H14" s="1">
        <f t="shared" si="2"/>
        <v>1354697.920001382</v>
      </c>
      <c r="I14" s="1">
        <f>-I12</f>
        <v>-8126793.6749599995</v>
      </c>
      <c r="K14" s="1">
        <v>0</v>
      </c>
    </row>
    <row r="15" spans="1:11" x14ac:dyDescent="0.2">
      <c r="A15" t="s">
        <v>4</v>
      </c>
      <c r="B15" s="1">
        <f>+B12+B14</f>
        <v>27773145.248840064</v>
      </c>
      <c r="C15" s="1">
        <f>+C12+C14</f>
        <v>51123.62177338238</v>
      </c>
      <c r="D15" s="1">
        <f>+D12+D14</f>
        <v>1841278.293514679</v>
      </c>
      <c r="E15" s="1">
        <f>+E12+E14</f>
        <v>732378.19130790466</v>
      </c>
      <c r="G15" s="1">
        <f>+G12+G14</f>
        <v>5574053.0999071775</v>
      </c>
      <c r="H15" s="1">
        <f>+H12+H14</f>
        <v>7195876.4546567956</v>
      </c>
      <c r="I15" s="1">
        <f>+I12+I14</f>
        <v>0</v>
      </c>
      <c r="J15" s="1">
        <f>+J12+J14</f>
        <v>0</v>
      </c>
      <c r="K15" s="1">
        <f>SUM(B15:J15)</f>
        <v>43167854.910000004</v>
      </c>
    </row>
    <row r="17" spans="1:11" x14ac:dyDescent="0.2">
      <c r="A17" t="s">
        <v>6</v>
      </c>
      <c r="B17" s="1">
        <f>B$9/($K$9-$J$9-$I$9-$H$9)*-$H$17</f>
        <v>5555772.3136077859</v>
      </c>
      <c r="C17" s="1">
        <f>C$9/($K$9-$J$9-$I$9-$H$9)*-$H$17</f>
        <v>10226.828826014096</v>
      </c>
      <c r="D17" s="1">
        <f>D$9/($K$9-$J$9-$I$9-$H$9)*-$H$17</f>
        <v>368331.45375146455</v>
      </c>
      <c r="E17" s="1">
        <f>E$9/($K$9-$J$9-$I$9-$H$9)*-$H$17</f>
        <v>146505.7861434884</v>
      </c>
      <c r="G17" s="1">
        <f>G$9/($K$9-$J$9-$I$9-$H$9)*-$H$17</f>
        <v>1115040.072328046</v>
      </c>
      <c r="H17" s="1">
        <f>-H15</f>
        <v>-7195876.4546567956</v>
      </c>
      <c r="K17" s="1">
        <v>0</v>
      </c>
    </row>
    <row r="18" spans="1:11" x14ac:dyDescent="0.2">
      <c r="A18" t="s">
        <v>4</v>
      </c>
      <c r="B18" s="1">
        <f>+B15+B17</f>
        <v>33328917.56244785</v>
      </c>
      <c r="C18" s="1">
        <f>+C15+C17</f>
        <v>61350.450599396478</v>
      </c>
      <c r="D18" s="1">
        <f>+D15+D17</f>
        <v>2209609.7472661436</v>
      </c>
      <c r="E18" s="1">
        <f>+E15+E17</f>
        <v>878883.97745139303</v>
      </c>
      <c r="G18" s="1">
        <f>+G15+G17</f>
        <v>6689093.1722352235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43167854.910000004</v>
      </c>
    </row>
    <row r="20" spans="1:11" x14ac:dyDescent="0.2">
      <c r="A20" t="s">
        <v>7</v>
      </c>
      <c r="B20" s="1">
        <f>B$9/($K$9-$J$9-$I$9-$H$9-$G$9)*-$G$20</f>
        <v>6111507.7454551011</v>
      </c>
      <c r="C20" s="1">
        <f>C$9/($K$9-$J$9-$I$9-$H$9-$G$9)*-$G$20</f>
        <v>11249.802917326855</v>
      </c>
      <c r="D20" s="1">
        <f>D$9/($K$9-$J$9-$I$9-$H$9-$G$9)*-$G$20</f>
        <v>405175.08735613181</v>
      </c>
      <c r="E20" s="1">
        <f>E$9/($K$9-$J$9-$I$9-$H$9-$G$9)*-$G$20</f>
        <v>161160.53650666709</v>
      </c>
      <c r="G20" s="1">
        <f>-G18</f>
        <v>-6689093.1722352235</v>
      </c>
      <c r="K20" s="1">
        <f>SUM(B20:J20)</f>
        <v>0</v>
      </c>
    </row>
    <row r="22" spans="1:11" x14ac:dyDescent="0.2">
      <c r="A22" t="s">
        <v>8</v>
      </c>
      <c r="B22" s="1">
        <f>+B20+B18</f>
        <v>39440425.307902947</v>
      </c>
      <c r="C22" s="1">
        <f t="shared" ref="C22:K22" si="3">+C20+C18</f>
        <v>72600.253516723329</v>
      </c>
      <c r="D22" s="1">
        <f t="shared" si="3"/>
        <v>2614784.8346222755</v>
      </c>
      <c r="E22" s="1">
        <f t="shared" si="3"/>
        <v>1040044.5139580602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43167854.910000004</v>
      </c>
    </row>
    <row r="27" spans="1:11" x14ac:dyDescent="0.2">
      <c r="A27" t="s">
        <v>9</v>
      </c>
      <c r="B27" s="1">
        <f>+B9</f>
        <v>19840844.109999999</v>
      </c>
    </row>
    <row r="28" spans="1:11" x14ac:dyDescent="0.2">
      <c r="A28" t="s">
        <v>10</v>
      </c>
      <c r="B28" s="1">
        <f>+B22-B27</f>
        <v>19599581.197902948</v>
      </c>
    </row>
    <row r="29" spans="1:11" x14ac:dyDescent="0.2">
      <c r="A29" s="35" t="s">
        <v>114</v>
      </c>
      <c r="B29" s="1">
        <f>HIBBING!B29+'ITASCA CC'!B29+'MESABI RANGE'!B29+'RAINY RIVER'!B29+VERMILION!B29</f>
        <v>4034</v>
      </c>
    </row>
    <row r="30" spans="1:11" x14ac:dyDescent="0.2">
      <c r="A30" t="s">
        <v>11</v>
      </c>
      <c r="B30" s="1">
        <f>+B28/B29</f>
        <v>4858.5972230795605</v>
      </c>
    </row>
  </sheetData>
  <phoneticPr fontId="0" type="noConversion"/>
  <pageMargins left="0.56000000000000005" right="0.59" top="0.82" bottom="1" header="0.5" footer="0.5"/>
  <pageSetup scale="96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Table'!B31</f>
        <v>6894124.4900000002</v>
      </c>
      <c r="C9" s="1">
        <f>'Master Expend Table'!C31</f>
        <v>0</v>
      </c>
      <c r="D9" s="1">
        <f>'Master Expend Table'!D31</f>
        <v>926391.33</v>
      </c>
      <c r="E9" s="1">
        <f>'Master Expend Table'!E31</f>
        <v>4786.88</v>
      </c>
      <c r="G9" s="1">
        <f>'Master Expend Table'!G31</f>
        <v>1159932.82</v>
      </c>
      <c r="H9" s="1">
        <f>'Master Expend Table'!H31</f>
        <v>1327399.48</v>
      </c>
      <c r="I9" s="1">
        <f>'Master Expend Table'!I31</f>
        <v>2108808.2000000002</v>
      </c>
      <c r="J9" s="1">
        <f>'Master Expend Table'!J31</f>
        <v>1767582.29</v>
      </c>
      <c r="K9" s="1">
        <f>SUM(B9:J9)</f>
        <v>14189025.489999998</v>
      </c>
    </row>
    <row r="11" spans="1:11" x14ac:dyDescent="0.2">
      <c r="A11" t="s">
        <v>3</v>
      </c>
      <c r="B11" s="1">
        <f>(B9/($K9-$J9))*-$J$11</f>
        <v>981039.97718874435</v>
      </c>
      <c r="C11" s="1">
        <f t="shared" ref="C11:I11" si="0">(C9/($K9-$J9))*-$J$11</f>
        <v>0</v>
      </c>
      <c r="D11" s="1">
        <f t="shared" si="0"/>
        <v>131826.30086957573</v>
      </c>
      <c r="E11" s="1">
        <f t="shared" si="0"/>
        <v>681.17723328277998</v>
      </c>
      <c r="G11" s="1">
        <f t="shared" si="0"/>
        <v>165059.4602583505</v>
      </c>
      <c r="H11" s="1">
        <f t="shared" si="0"/>
        <v>188890.11323605373</v>
      </c>
      <c r="I11" s="1">
        <f t="shared" si="0"/>
        <v>300085.26121399313</v>
      </c>
      <c r="J11" s="1">
        <f>-J9</f>
        <v>-1767582.29</v>
      </c>
      <c r="K11" s="1">
        <v>0</v>
      </c>
    </row>
    <row r="12" spans="1:11" x14ac:dyDescent="0.2">
      <c r="A12" t="s">
        <v>4</v>
      </c>
      <c r="B12" s="1">
        <f>+B9+B11</f>
        <v>7875164.4671887448</v>
      </c>
      <c r="C12" s="1">
        <f t="shared" ref="C12:J12" si="1">+C9+C11</f>
        <v>0</v>
      </c>
      <c r="D12" s="1">
        <f t="shared" si="1"/>
        <v>1058217.6308695758</v>
      </c>
      <c r="E12" s="1">
        <f t="shared" si="1"/>
        <v>5468.0572332827796</v>
      </c>
      <c r="G12" s="1">
        <f t="shared" si="1"/>
        <v>1324992.2802583505</v>
      </c>
      <c r="H12" s="1">
        <f t="shared" si="1"/>
        <v>1516289.5932360538</v>
      </c>
      <c r="I12" s="1">
        <f t="shared" si="1"/>
        <v>2408893.4612139934</v>
      </c>
      <c r="J12" s="1">
        <f t="shared" si="1"/>
        <v>0</v>
      </c>
      <c r="K12" s="1">
        <f>SUM(B12:J12)</f>
        <v>14189025.49</v>
      </c>
    </row>
    <row r="14" spans="1:11" x14ac:dyDescent="0.2">
      <c r="A14" t="s">
        <v>5</v>
      </c>
      <c r="B14" s="1">
        <f>B$9/($K$9-$J$9-$I$9)*-I14</f>
        <v>1610375.1761558764</v>
      </c>
      <c r="C14" s="1">
        <f t="shared" ref="C14:H14" si="2">C$9/($K$9-$J$9-$I$9)*-$I$14</f>
        <v>0</v>
      </c>
      <c r="D14" s="1">
        <f t="shared" si="2"/>
        <v>216392.61133185987</v>
      </c>
      <c r="E14" s="1">
        <f t="shared" si="2"/>
        <v>1118.151076966851</v>
      </c>
      <c r="G14" s="1">
        <f t="shared" si="2"/>
        <v>270944.77653339889</v>
      </c>
      <c r="H14" s="1">
        <f t="shared" si="2"/>
        <v>310062.74611589132</v>
      </c>
      <c r="I14" s="1">
        <f>-I12</f>
        <v>-2408893.4612139934</v>
      </c>
      <c r="K14" s="1">
        <v>0</v>
      </c>
    </row>
    <row r="15" spans="1:11" x14ac:dyDescent="0.2">
      <c r="A15" t="s">
        <v>4</v>
      </c>
      <c r="B15" s="1">
        <f>+B12+B14</f>
        <v>9485539.6433446221</v>
      </c>
      <c r="C15" s="1">
        <f>+C12+C14</f>
        <v>0</v>
      </c>
      <c r="D15" s="1">
        <f>+D12+D14</f>
        <v>1274610.2422014356</v>
      </c>
      <c r="E15" s="1">
        <f>+E12+E14</f>
        <v>6586.2083102496308</v>
      </c>
      <c r="G15" s="1">
        <f>+G12+G14</f>
        <v>1595937.0567917493</v>
      </c>
      <c r="H15" s="1">
        <f>+H12+H14</f>
        <v>1826352.3393519451</v>
      </c>
      <c r="I15" s="1">
        <f>+I12+I14</f>
        <v>0</v>
      </c>
      <c r="J15" s="1">
        <f>+J12+J14</f>
        <v>0</v>
      </c>
      <c r="K15" s="1">
        <f>SUM(B15:J15)</f>
        <v>14189025.490000002</v>
      </c>
    </row>
    <row r="17" spans="1:11" x14ac:dyDescent="0.2">
      <c r="A17" t="s">
        <v>6</v>
      </c>
      <c r="B17" s="1">
        <f>B$9/($K$9-$J$9-$I$9-$H$9)*-$H$17</f>
        <v>1401310.0003966324</v>
      </c>
      <c r="C17" s="1">
        <f>C$9/($K$9-$J$9-$I$9-$H$9)*-$H$17</f>
        <v>0</v>
      </c>
      <c r="D17" s="1">
        <f>D$9/($K$9-$J$9-$I$9-$H$9)*-$H$17</f>
        <v>188299.67995105594</v>
      </c>
      <c r="E17" s="1">
        <f>E$9/($K$9-$J$9-$I$9-$H$9)*-$H$17</f>
        <v>972.98835035957291</v>
      </c>
      <c r="G17" s="1">
        <f>G$9/($K$9-$J$9-$I$9-$H$9)*-$H$17</f>
        <v>235769.67065389722</v>
      </c>
      <c r="H17" s="1">
        <f>-H15</f>
        <v>-1826352.3393519451</v>
      </c>
      <c r="K17" s="1">
        <v>0</v>
      </c>
    </row>
    <row r="18" spans="1:11" x14ac:dyDescent="0.2">
      <c r="A18" t="s">
        <v>4</v>
      </c>
      <c r="B18" s="1">
        <f>+B15+B17</f>
        <v>10886849.643741254</v>
      </c>
      <c r="C18" s="1">
        <f>+C15+C17</f>
        <v>0</v>
      </c>
      <c r="D18" s="1">
        <f>+D15+D17</f>
        <v>1462909.9221524915</v>
      </c>
      <c r="E18" s="1">
        <f>+E15+E17</f>
        <v>7559.1966606092037</v>
      </c>
      <c r="G18" s="1">
        <f>+G15+G17</f>
        <v>1831706.7274456467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14189025.490000002</v>
      </c>
    </row>
    <row r="20" spans="1:11" x14ac:dyDescent="0.2">
      <c r="A20" t="s">
        <v>7</v>
      </c>
      <c r="B20" s="1">
        <f>B$9/($K$9-$J$9-$I$9-$H$9-$G$9)*-$G$20</f>
        <v>1613741.3071804608</v>
      </c>
      <c r="C20" s="1">
        <f>C$9/($K$9-$J$9-$I$9-$H$9-$G$9)*-$G$20</f>
        <v>0</v>
      </c>
      <c r="D20" s="1">
        <f>D$9/($K$9-$J$9-$I$9-$H$9-$G$9)*-$G$20</f>
        <v>216844.93194216245</v>
      </c>
      <c r="E20" s="1">
        <f>E$9/($K$9-$J$9-$I$9-$H$9-$G$9)*-$G$20</f>
        <v>1120.488323023596</v>
      </c>
      <c r="G20" s="1">
        <f>-G18</f>
        <v>-1831706.7274456467</v>
      </c>
      <c r="K20" s="1">
        <f>SUM(B20:J20)</f>
        <v>0</v>
      </c>
    </row>
    <row r="22" spans="1:11" x14ac:dyDescent="0.2">
      <c r="A22" t="s">
        <v>8</v>
      </c>
      <c r="B22" s="1">
        <f>+B20+B18</f>
        <v>12500590.950921714</v>
      </c>
      <c r="C22" s="1">
        <f t="shared" ref="C22:K22" si="3">+C20+C18</f>
        <v>0</v>
      </c>
      <c r="D22" s="1">
        <f t="shared" si="3"/>
        <v>1679754.8540946539</v>
      </c>
      <c r="E22" s="1">
        <f t="shared" si="3"/>
        <v>8679.6849836328001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14189025.490000002</v>
      </c>
    </row>
    <row r="27" spans="1:11" x14ac:dyDescent="0.2">
      <c r="A27" t="s">
        <v>9</v>
      </c>
      <c r="B27" s="1">
        <f>+B9</f>
        <v>6894124.4900000002</v>
      </c>
    </row>
    <row r="28" spans="1:11" x14ac:dyDescent="0.2">
      <c r="A28" t="s">
        <v>10</v>
      </c>
      <c r="B28" s="1">
        <f>+B22-B27</f>
        <v>5606466.4609217141</v>
      </c>
    </row>
    <row r="29" spans="1:11" x14ac:dyDescent="0.2">
      <c r="A29" s="35" t="s">
        <v>114</v>
      </c>
      <c r="B29" s="1">
        <v>1115</v>
      </c>
    </row>
    <row r="30" spans="1:11" x14ac:dyDescent="0.2">
      <c r="A30" t="s">
        <v>11</v>
      </c>
      <c r="B30" s="1">
        <f>+B28/B29</f>
        <v>5028.2210411853939</v>
      </c>
    </row>
  </sheetData>
  <phoneticPr fontId="0" type="noConversion"/>
  <pageMargins left="0.46" right="0.55000000000000004" top="1" bottom="0.51" header="0.5" footer="0.5"/>
  <pageSetup orientation="landscape" horizontalDpi="4294967294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Table'!B32</f>
        <v>4647474.09</v>
      </c>
      <c r="C9" s="1">
        <f>'Master Expend Table'!C32</f>
        <v>25127.29</v>
      </c>
      <c r="D9" s="1">
        <f>'Master Expend Table'!D32</f>
        <v>112862.05</v>
      </c>
      <c r="E9" s="1">
        <f>'Master Expend Table'!E32</f>
        <v>201604.66</v>
      </c>
      <c r="G9" s="1">
        <f>'Master Expend Table'!G32</f>
        <v>902278.15</v>
      </c>
      <c r="H9" s="1">
        <f>'Master Expend Table'!H32</f>
        <v>1296867.0900000001</v>
      </c>
      <c r="I9" s="1">
        <f>'Master Expend Table'!I32</f>
        <v>1747876.06</v>
      </c>
      <c r="J9" s="1">
        <f>'Master Expend Table'!J32</f>
        <v>963633.53</v>
      </c>
      <c r="K9" s="1">
        <f>SUM(B9:J9)</f>
        <v>9897722.9199999999</v>
      </c>
    </row>
    <row r="11" spans="1:11" x14ac:dyDescent="0.2">
      <c r="A11" t="s">
        <v>3</v>
      </c>
      <c r="B11" s="1">
        <f>(B9/($K9-$J9))*-$J$11</f>
        <v>501277.93303064746</v>
      </c>
      <c r="C11" s="1">
        <f t="shared" ref="C11:I11" si="0">(C9/($K9-$J9))*-$J$11</f>
        <v>2710.2369480583066</v>
      </c>
      <c r="D11" s="1">
        <f t="shared" si="0"/>
        <v>12173.334169486801</v>
      </c>
      <c r="E11" s="1">
        <f t="shared" si="0"/>
        <v>21745.13839067932</v>
      </c>
      <c r="G11" s="1">
        <f t="shared" si="0"/>
        <v>97319.988727622243</v>
      </c>
      <c r="H11" s="1">
        <f t="shared" si="0"/>
        <v>139880.46876678136</v>
      </c>
      <c r="I11" s="1">
        <f t="shared" si="0"/>
        <v>188526.42996672454</v>
      </c>
      <c r="J11" s="1">
        <f>-J9</f>
        <v>-963633.53</v>
      </c>
      <c r="K11" s="1">
        <v>0</v>
      </c>
    </row>
    <row r="12" spans="1:11" x14ac:dyDescent="0.2">
      <c r="A12" t="s">
        <v>4</v>
      </c>
      <c r="B12" s="1">
        <f>+B9+B11</f>
        <v>5148752.0230306471</v>
      </c>
      <c r="C12" s="1">
        <f t="shared" ref="C12:J12" si="1">+C9+C11</f>
        <v>27837.526948058308</v>
      </c>
      <c r="D12" s="1">
        <f t="shared" si="1"/>
        <v>125035.3841694868</v>
      </c>
      <c r="E12" s="1">
        <f t="shared" si="1"/>
        <v>223349.79839067932</v>
      </c>
      <c r="G12" s="1">
        <f t="shared" si="1"/>
        <v>999598.13872762222</v>
      </c>
      <c r="H12" s="1">
        <f t="shared" si="1"/>
        <v>1436747.5587667814</v>
      </c>
      <c r="I12" s="1">
        <f t="shared" si="1"/>
        <v>1936402.4899667245</v>
      </c>
      <c r="J12" s="1">
        <f t="shared" si="1"/>
        <v>0</v>
      </c>
      <c r="K12" s="1">
        <f>SUM(B12:J12)</f>
        <v>9897722.9199999981</v>
      </c>
    </row>
    <row r="14" spans="1:11" x14ac:dyDescent="0.2">
      <c r="A14" t="s">
        <v>5</v>
      </c>
      <c r="B14" s="1">
        <f>B$9/($K$9-$J$9-$I$9)*-I14</f>
        <v>1252311.8903752107</v>
      </c>
      <c r="C14" s="1">
        <f t="shared" ref="C14:H14" si="2">C$9/($K$9-$J$9-$I$9)*-$I$14</f>
        <v>6770.8186060927837</v>
      </c>
      <c r="D14" s="1">
        <f t="shared" si="2"/>
        <v>30411.893525397049</v>
      </c>
      <c r="E14" s="1">
        <f t="shared" si="2"/>
        <v>54324.54446949948</v>
      </c>
      <c r="G14" s="1">
        <f t="shared" si="2"/>
        <v>243128.55408963622</v>
      </c>
      <c r="H14" s="1">
        <f t="shared" si="2"/>
        <v>349454.78890088841</v>
      </c>
      <c r="I14" s="1">
        <f>-I12</f>
        <v>-1936402.4899667245</v>
      </c>
      <c r="K14" s="1">
        <v>0</v>
      </c>
    </row>
    <row r="15" spans="1:11" x14ac:dyDescent="0.2">
      <c r="A15" t="s">
        <v>4</v>
      </c>
      <c r="B15" s="1">
        <f>+B12+B14</f>
        <v>6401063.913405858</v>
      </c>
      <c r="C15" s="1">
        <f>+C12+C14</f>
        <v>34608.345554151092</v>
      </c>
      <c r="D15" s="1">
        <f>+D12+D14</f>
        <v>155447.27769488384</v>
      </c>
      <c r="E15" s="1">
        <f>+E12+E14</f>
        <v>277674.34286017879</v>
      </c>
      <c r="G15" s="1">
        <f>+G12+G14</f>
        <v>1242726.6928172584</v>
      </c>
      <c r="H15" s="1">
        <f>+H12+H14</f>
        <v>1786202.3476676699</v>
      </c>
      <c r="I15" s="1">
        <f>+I12+I14</f>
        <v>0</v>
      </c>
      <c r="J15" s="1">
        <f>+J12+J14</f>
        <v>0</v>
      </c>
      <c r="K15" s="1">
        <f>SUM(B15:J15)</f>
        <v>9897722.9199999999</v>
      </c>
    </row>
    <row r="17" spans="1:11" x14ac:dyDescent="0.2">
      <c r="A17" t="s">
        <v>6</v>
      </c>
      <c r="B17" s="1">
        <f>B$9/($K$9-$J$9-$I$9-$H$9)*-$H$17</f>
        <v>1409550.193177752</v>
      </c>
      <c r="C17" s="1">
        <f>C$9/($K$9-$J$9-$I$9-$H$9)*-$H$17</f>
        <v>7620.9518950827332</v>
      </c>
      <c r="D17" s="1">
        <f>D$9/($K$9-$J$9-$I$9-$H$9)*-$H$17</f>
        <v>34230.362837791981</v>
      </c>
      <c r="E17" s="1">
        <f>E$9/($K$9-$J$9-$I$9-$H$9)*-$H$17</f>
        <v>61145.44846199132</v>
      </c>
      <c r="G17" s="1">
        <f>G$9/($K$9-$J$9-$I$9-$H$9)*-$H$17</f>
        <v>273655.39129505178</v>
      </c>
      <c r="H17" s="1">
        <f>-H15</f>
        <v>-1786202.3476676699</v>
      </c>
      <c r="K17" s="1">
        <v>0</v>
      </c>
    </row>
    <row r="18" spans="1:11" x14ac:dyDescent="0.2">
      <c r="A18" t="s">
        <v>4</v>
      </c>
      <c r="B18" s="1">
        <f>+B15+B17</f>
        <v>7810614.1065836102</v>
      </c>
      <c r="C18" s="1">
        <f>+C15+C17</f>
        <v>42229.297449233825</v>
      </c>
      <c r="D18" s="1">
        <f>+D15+D17</f>
        <v>189677.64053267584</v>
      </c>
      <c r="E18" s="1">
        <f>+E15+E17</f>
        <v>338819.79132217012</v>
      </c>
      <c r="G18" s="1">
        <f>+G15+G17</f>
        <v>1516382.0841123103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9897722.9199999999</v>
      </c>
    </row>
    <row r="20" spans="1:11" x14ac:dyDescent="0.2">
      <c r="A20" t="s">
        <v>7</v>
      </c>
      <c r="B20" s="1">
        <f>B$9/($K$9-$J$9-$I$9-$H$9-$G$9)*-$G$20</f>
        <v>1413124.1682028375</v>
      </c>
      <c r="C20" s="1">
        <f>C$9/($K$9-$J$9-$I$9-$H$9-$G$9)*-$G$20</f>
        <v>7640.2751457709519</v>
      </c>
      <c r="D20" s="1">
        <f>D$9/($K$9-$J$9-$I$9-$H$9-$G$9)*-$G$20</f>
        <v>34317.15539223524</v>
      </c>
      <c r="E20" s="1">
        <f>E$9/($K$9-$J$9-$I$9-$H$9-$G$9)*-$G$20</f>
        <v>61300.48537146677</v>
      </c>
      <c r="G20" s="1">
        <f>-G18</f>
        <v>-1516382.0841123103</v>
      </c>
      <c r="K20" s="1">
        <f>SUM(B20:J20)</f>
        <v>0</v>
      </c>
    </row>
    <row r="22" spans="1:11" x14ac:dyDescent="0.2">
      <c r="A22" t="s">
        <v>8</v>
      </c>
      <c r="B22" s="1">
        <f>+B20+B18</f>
        <v>9223738.2747864481</v>
      </c>
      <c r="C22" s="1">
        <f t="shared" ref="C22:K22" si="3">+C20+C18</f>
        <v>49869.572595004778</v>
      </c>
      <c r="D22" s="1">
        <f t="shared" si="3"/>
        <v>223994.79592491107</v>
      </c>
      <c r="E22" s="1">
        <f t="shared" si="3"/>
        <v>400120.2766936369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9897722.9199999999</v>
      </c>
    </row>
    <row r="27" spans="1:11" x14ac:dyDescent="0.2">
      <c r="A27" t="s">
        <v>9</v>
      </c>
      <c r="B27" s="1">
        <f>+B9</f>
        <v>4647474.09</v>
      </c>
    </row>
    <row r="28" spans="1:11" x14ac:dyDescent="0.2">
      <c r="A28" t="s">
        <v>10</v>
      </c>
      <c r="B28" s="1">
        <f>+B22-B27</f>
        <v>4576264.1847864483</v>
      </c>
    </row>
    <row r="29" spans="1:11" x14ac:dyDescent="0.2">
      <c r="A29" s="35" t="s">
        <v>114</v>
      </c>
      <c r="B29" s="1">
        <v>1016</v>
      </c>
    </row>
    <row r="30" spans="1:11" x14ac:dyDescent="0.2">
      <c r="A30" t="s">
        <v>11</v>
      </c>
      <c r="B30" s="1">
        <f>+B28/B29</f>
        <v>4504.1970322701263</v>
      </c>
    </row>
  </sheetData>
  <phoneticPr fontId="0" type="noConversion"/>
  <pageMargins left="0.59" right="0.55000000000000004" top="1" bottom="0.53" header="0.5" footer="0.5"/>
  <pageSetup orientation="landscape" horizontalDpi="4294967294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710937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Table'!B33</f>
        <v>5203527.97</v>
      </c>
      <c r="C9" s="1">
        <f>'Master Expend Table'!C33</f>
        <v>0</v>
      </c>
      <c r="D9" s="1">
        <f>'Master Expend Table'!D33</f>
        <v>164294.48000000001</v>
      </c>
      <c r="E9" s="1">
        <f>'Master Expend Table'!E33</f>
        <v>163976.78</v>
      </c>
      <c r="G9" s="1">
        <f>'Master Expend Table'!G33</f>
        <v>998126.17</v>
      </c>
      <c r="H9" s="1">
        <f>'Master Expend Table'!H33</f>
        <v>1044849.04</v>
      </c>
      <c r="I9" s="1">
        <f>'Master Expend Table'!I33</f>
        <v>1451801.61</v>
      </c>
      <c r="J9" s="1">
        <f>'Master Expend Table'!J33</f>
        <v>1506141.68</v>
      </c>
      <c r="K9" s="1">
        <f>SUM(B9:J9)</f>
        <v>10532717.73</v>
      </c>
    </row>
    <row r="11" spans="1:11" x14ac:dyDescent="0.2">
      <c r="A11" t="s">
        <v>3</v>
      </c>
      <c r="B11" s="1">
        <f>(B9/($K9-$J9))*-$J$11</f>
        <v>868241.76911053527</v>
      </c>
      <c r="C11" s="1">
        <f t="shared" ref="C11:I11" si="0">(C9/($K9-$J9))*-$J$11</f>
        <v>0</v>
      </c>
      <c r="D11" s="1">
        <f t="shared" si="0"/>
        <v>27413.579938976574</v>
      </c>
      <c r="E11" s="1">
        <f t="shared" si="0"/>
        <v>27360.569671397207</v>
      </c>
      <c r="G11" s="1">
        <f t="shared" si="0"/>
        <v>166543.70585353518</v>
      </c>
      <c r="H11" s="1">
        <f t="shared" si="0"/>
        <v>174339.71416570374</v>
      </c>
      <c r="I11" s="1">
        <f t="shared" si="0"/>
        <v>242242.34125985176</v>
      </c>
      <c r="J11" s="1">
        <f>-J9</f>
        <v>-1506141.68</v>
      </c>
      <c r="K11" s="1">
        <v>0</v>
      </c>
    </row>
    <row r="12" spans="1:11" x14ac:dyDescent="0.2">
      <c r="A12" t="s">
        <v>4</v>
      </c>
      <c r="B12" s="1">
        <f>+B9+B11</f>
        <v>6071769.739110535</v>
      </c>
      <c r="C12" s="1">
        <f t="shared" ref="C12:J12" si="1">+C9+C11</f>
        <v>0</v>
      </c>
      <c r="D12" s="1">
        <f t="shared" si="1"/>
        <v>191708.0599389766</v>
      </c>
      <c r="E12" s="1">
        <f t="shared" si="1"/>
        <v>191337.34967139721</v>
      </c>
      <c r="G12" s="1">
        <f t="shared" si="1"/>
        <v>1164669.8758535353</v>
      </c>
      <c r="H12" s="1">
        <f t="shared" si="1"/>
        <v>1219188.7541657039</v>
      </c>
      <c r="I12" s="1">
        <f t="shared" si="1"/>
        <v>1694043.9512598519</v>
      </c>
      <c r="J12" s="1">
        <f t="shared" si="1"/>
        <v>0</v>
      </c>
      <c r="K12" s="1">
        <f>SUM(B12:J12)</f>
        <v>10532717.729999999</v>
      </c>
    </row>
    <row r="14" spans="1:11" x14ac:dyDescent="0.2">
      <c r="A14" t="s">
        <v>5</v>
      </c>
      <c r="B14" s="1">
        <f>B$9/($K$9-$J$9-$I$9)*-I14</f>
        <v>1163731.6929518967</v>
      </c>
      <c r="C14" s="1">
        <f t="shared" ref="C14:H14" si="2">C$9/($K$9-$J$9-$I$9)*-$I$14</f>
        <v>0</v>
      </c>
      <c r="D14" s="1">
        <f t="shared" si="2"/>
        <v>36743.281568841368</v>
      </c>
      <c r="E14" s="1">
        <f t="shared" si="2"/>
        <v>36672.23024347474</v>
      </c>
      <c r="G14" s="1">
        <f t="shared" si="2"/>
        <v>223223.75593835668</v>
      </c>
      <c r="H14" s="1">
        <f t="shared" si="2"/>
        <v>233672.99055728226</v>
      </c>
      <c r="I14" s="1">
        <f>-I12</f>
        <v>-1694043.9512598519</v>
      </c>
      <c r="K14" s="1">
        <v>0</v>
      </c>
    </row>
    <row r="15" spans="1:11" x14ac:dyDescent="0.2">
      <c r="A15" t="s">
        <v>4</v>
      </c>
      <c r="B15" s="1">
        <f>+B12+B14</f>
        <v>7235501.4320624322</v>
      </c>
      <c r="C15" s="1">
        <f>+C12+C14</f>
        <v>0</v>
      </c>
      <c r="D15" s="1">
        <f>+D12+D14</f>
        <v>228451.34150781797</v>
      </c>
      <c r="E15" s="1">
        <f>+E12+E14</f>
        <v>228009.57991487195</v>
      </c>
      <c r="G15" s="1">
        <f>+G12+G14</f>
        <v>1387893.631791892</v>
      </c>
      <c r="H15" s="1">
        <f>+H12+H14</f>
        <v>1452861.7447229861</v>
      </c>
      <c r="I15" s="1">
        <f>+I12+I14</f>
        <v>0</v>
      </c>
      <c r="J15" s="1">
        <f>+J12+J14</f>
        <v>0</v>
      </c>
      <c r="K15" s="1">
        <f>SUM(B15:J15)</f>
        <v>10532717.73</v>
      </c>
    </row>
    <row r="17" spans="1:11" x14ac:dyDescent="0.2">
      <c r="A17" t="s">
        <v>6</v>
      </c>
      <c r="B17" s="1">
        <f>B$9/($K$9-$J$9-$I$9-$H$9)*-$H$17</f>
        <v>1157747.7937510675</v>
      </c>
      <c r="C17" s="1">
        <f>C$9/($K$9-$J$9-$I$9-$H$9)*-$H$17</f>
        <v>0</v>
      </c>
      <c r="D17" s="1">
        <f>D$9/($K$9-$J$9-$I$9-$H$9)*-$H$17</f>
        <v>36554.347904365917</v>
      </c>
      <c r="E17" s="1">
        <f>E$9/($K$9-$J$9-$I$9-$H$9)*-$H$17</f>
        <v>36483.66192435479</v>
      </c>
      <c r="G17" s="1">
        <f>G$9/($K$9-$J$9-$I$9-$H$9)*-$H$17</f>
        <v>222075.94114319771</v>
      </c>
      <c r="H17" s="1">
        <f>-H15</f>
        <v>-1452861.7447229861</v>
      </c>
      <c r="K17" s="1">
        <v>0</v>
      </c>
    </row>
    <row r="18" spans="1:11" x14ac:dyDescent="0.2">
      <c r="A18" t="s">
        <v>4</v>
      </c>
      <c r="B18" s="1">
        <f>+B15+B17</f>
        <v>8393249.2258135006</v>
      </c>
      <c r="C18" s="1">
        <f>+C15+C17</f>
        <v>0</v>
      </c>
      <c r="D18" s="1">
        <f>+D15+D17</f>
        <v>265005.68941218388</v>
      </c>
      <c r="E18" s="1">
        <f>+E15+E17</f>
        <v>264493.24183922674</v>
      </c>
      <c r="G18" s="1">
        <f>+G15+G17</f>
        <v>1609969.5729350897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10532717.73</v>
      </c>
    </row>
    <row r="20" spans="1:11" x14ac:dyDescent="0.2">
      <c r="A20" t="s">
        <v>7</v>
      </c>
      <c r="B20" s="1">
        <f>B$9/($K$9-$J$9-$I$9-$H$9-$G$9)*-$G$20</f>
        <v>1514429.81845469</v>
      </c>
      <c r="C20" s="1">
        <f>C$9/($K$9-$J$9-$I$9-$H$9-$G$9)*-$G$20</f>
        <v>0</v>
      </c>
      <c r="D20" s="1">
        <f>D$9/($K$9-$J$9-$I$9-$H$9-$G$9)*-$G$20</f>
        <v>47816.108792725041</v>
      </c>
      <c r="E20" s="1">
        <f>E$9/($K$9-$J$9-$I$9-$H$9-$G$9)*-$G$20</f>
        <v>47723.645687674594</v>
      </c>
      <c r="G20" s="1">
        <f>-G18</f>
        <v>-1609969.5729350897</v>
      </c>
      <c r="K20" s="1">
        <f>SUM(B20:J20)</f>
        <v>0</v>
      </c>
    </row>
    <row r="22" spans="1:11" x14ac:dyDescent="0.2">
      <c r="A22" t="s">
        <v>8</v>
      </c>
      <c r="B22" s="1">
        <f>+B20+B18</f>
        <v>9907679.0442681909</v>
      </c>
      <c r="C22" s="1">
        <f t="shared" ref="C22:K22" si="3">+C20+C18</f>
        <v>0</v>
      </c>
      <c r="D22" s="1">
        <f t="shared" si="3"/>
        <v>312821.7982049089</v>
      </c>
      <c r="E22" s="1">
        <f t="shared" si="3"/>
        <v>312216.88752690132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10532717.73</v>
      </c>
    </row>
    <row r="27" spans="1:11" x14ac:dyDescent="0.2">
      <c r="A27" t="s">
        <v>9</v>
      </c>
      <c r="B27" s="1">
        <f>+B9</f>
        <v>5203527.97</v>
      </c>
    </row>
    <row r="28" spans="1:11" x14ac:dyDescent="0.2">
      <c r="A28" t="s">
        <v>10</v>
      </c>
      <c r="B28" s="1">
        <f>+B22-B27</f>
        <v>4704151.0742681911</v>
      </c>
    </row>
    <row r="29" spans="1:11" x14ac:dyDescent="0.2">
      <c r="A29" s="35" t="s">
        <v>114</v>
      </c>
      <c r="B29" s="1">
        <v>1043</v>
      </c>
    </row>
    <row r="30" spans="1:11" x14ac:dyDescent="0.2">
      <c r="A30" t="s">
        <v>11</v>
      </c>
      <c r="B30" s="1">
        <f>+B28/B29</f>
        <v>4510.2119599886782</v>
      </c>
    </row>
  </sheetData>
  <phoneticPr fontId="0" type="noConversion"/>
  <pageMargins left="0.59" right="0.4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30"/>
  <sheetViews>
    <sheetView zoomScale="75" workbookViewId="0">
      <selection activeCell="Q20" sqref="Q2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5703125" style="1" bestFit="1" customWidth="1"/>
    <col min="5" max="5" width="9.28515625" style="1" bestFit="1" customWidth="1"/>
    <col min="6" max="6" width="2.7109375" style="3" customWidth="1"/>
    <col min="7" max="9" width="11.5703125" style="1" bestFit="1" customWidth="1"/>
    <col min="10" max="10" width="13.7109375" style="1" bestFit="1" customWidth="1"/>
    <col min="11" max="11" width="11.42578125" style="1" bestFit="1" customWidth="1"/>
  </cols>
  <sheetData>
    <row r="1" spans="1:11" ht="15.75" x14ac:dyDescent="0.25">
      <c r="A1" s="5" t="str">
        <f>System!A1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Table'!B6</f>
        <v>10840990.029999999</v>
      </c>
      <c r="C9" s="1">
        <f>'Master Expend Table'!C6</f>
        <v>110851.75</v>
      </c>
      <c r="D9" s="1">
        <f>'Master Expend Table'!D6</f>
        <v>843201.06</v>
      </c>
      <c r="E9" s="1">
        <f>'Master Expend Table'!E6</f>
        <v>0</v>
      </c>
      <c r="G9" s="1">
        <f>'Master Expend Table'!G6</f>
        <v>2357083.33</v>
      </c>
      <c r="H9" s="1">
        <f>'Master Expend Table'!H6</f>
        <v>1892501.47</v>
      </c>
      <c r="I9" s="1">
        <f>'Master Expend Table'!I6</f>
        <v>3159206.83</v>
      </c>
      <c r="J9" s="1">
        <f>'Master Expend Table'!J6</f>
        <v>2437844.88</v>
      </c>
      <c r="K9" s="1">
        <f>SUM(B9:J9)</f>
        <v>21641679.349999998</v>
      </c>
    </row>
    <row r="11" spans="1:11" x14ac:dyDescent="0.2">
      <c r="A11" t="s">
        <v>3</v>
      </c>
      <c r="B11" s="1">
        <f>(B9/($K9-$J9))*-$J$11</f>
        <v>1376217.446575738</v>
      </c>
      <c r="C11" s="1">
        <f t="shared" ref="C11:I11" si="0">(C9/($K9-$J9))*-$J$11</f>
        <v>14072.156870478379</v>
      </c>
      <c r="D11" s="1">
        <f t="shared" si="0"/>
        <v>107040.77824367817</v>
      </c>
      <c r="E11" s="1">
        <f t="shared" si="0"/>
        <v>0</v>
      </c>
      <c r="G11" s="1">
        <f t="shared" si="0"/>
        <v>299221.6755851807</v>
      </c>
      <c r="H11" s="1">
        <f t="shared" si="0"/>
        <v>240244.98993882307</v>
      </c>
      <c r="I11" s="1">
        <f t="shared" si="0"/>
        <v>401047.83278610144</v>
      </c>
      <c r="J11" s="1">
        <f>-J9</f>
        <v>-2437844.88</v>
      </c>
      <c r="K11" s="1">
        <v>0</v>
      </c>
    </row>
    <row r="12" spans="1:11" x14ac:dyDescent="0.2">
      <c r="A12" t="s">
        <v>4</v>
      </c>
      <c r="B12" s="1">
        <f>+B9+B11</f>
        <v>12217207.476575738</v>
      </c>
      <c r="C12" s="1">
        <f t="shared" ref="C12:J12" si="1">+C9+C11</f>
        <v>124923.90687047839</v>
      </c>
      <c r="D12" s="1">
        <f t="shared" si="1"/>
        <v>950241.83824367821</v>
      </c>
      <c r="E12" s="1">
        <f t="shared" si="1"/>
        <v>0</v>
      </c>
      <c r="G12" s="1">
        <f t="shared" si="1"/>
        <v>2656305.0055851806</v>
      </c>
      <c r="H12" s="1">
        <f t="shared" si="1"/>
        <v>2132746.4599388232</v>
      </c>
      <c r="I12" s="1">
        <f t="shared" si="1"/>
        <v>3560254.6627861015</v>
      </c>
      <c r="J12" s="1">
        <f t="shared" si="1"/>
        <v>0</v>
      </c>
      <c r="K12" s="1">
        <f>SUM(B12:J12)</f>
        <v>21641679.349999998</v>
      </c>
    </row>
    <row r="14" spans="1:11" x14ac:dyDescent="0.2">
      <c r="A14" t="s">
        <v>5</v>
      </c>
      <c r="B14" s="1">
        <f>B$9/($K$9-$J$9-$I$9)*-I14</f>
        <v>2405583.1128982897</v>
      </c>
      <c r="C14" s="1">
        <f t="shared" ref="C14:H14" si="2">C$9/($K$9-$J$9-$I$9)*-$I$14</f>
        <v>24597.670240198808</v>
      </c>
      <c r="D14" s="1">
        <f t="shared" si="2"/>
        <v>187103.78158275437</v>
      </c>
      <c r="E14" s="1">
        <f t="shared" si="2"/>
        <v>0</v>
      </c>
      <c r="G14" s="1">
        <f t="shared" si="2"/>
        <v>523029.70841695968</v>
      </c>
      <c r="H14" s="1">
        <f t="shared" si="2"/>
        <v>419940.38964789908</v>
      </c>
      <c r="I14" s="1">
        <f>-I12</f>
        <v>-3560254.6627861015</v>
      </c>
      <c r="K14" s="1">
        <v>0</v>
      </c>
    </row>
    <row r="15" spans="1:11" x14ac:dyDescent="0.2">
      <c r="A15" t="s">
        <v>4</v>
      </c>
      <c r="B15" s="1">
        <f>+B12+B14</f>
        <v>14622790.589474028</v>
      </c>
      <c r="C15" s="1">
        <f>+C12+C14</f>
        <v>149521.5771106772</v>
      </c>
      <c r="D15" s="1">
        <f>+D12+D14</f>
        <v>1137345.6198264326</v>
      </c>
      <c r="E15" s="1">
        <f>+E12+E14</f>
        <v>0</v>
      </c>
      <c r="G15" s="1">
        <f>+G12+G14</f>
        <v>3179334.7140021403</v>
      </c>
      <c r="H15" s="1">
        <f>+H12+H14</f>
        <v>2552686.8495867224</v>
      </c>
      <c r="I15" s="1">
        <f>+I12+I14</f>
        <v>0</v>
      </c>
      <c r="J15" s="1">
        <f>+J12+J14</f>
        <v>0</v>
      </c>
      <c r="K15" s="1">
        <f>SUM(B15:J15)</f>
        <v>21641679.350000001</v>
      </c>
    </row>
    <row r="17" spans="1:11" x14ac:dyDescent="0.2">
      <c r="A17" t="s">
        <v>6</v>
      </c>
      <c r="B17" s="1">
        <f>B$9/($K$9-$J$9-$I$9-$H$9)*-$H$17</f>
        <v>1955441.3487879308</v>
      </c>
      <c r="C17" s="1">
        <f>C$9/($K$9-$J$9-$I$9-$H$9)*-$H$17</f>
        <v>19994.86162570546</v>
      </c>
      <c r="D17" s="1">
        <f>D$9/($K$9-$J$9-$I$9-$H$9)*-$H$17</f>
        <v>152092.21791580349</v>
      </c>
      <c r="E17" s="1">
        <f>E$9/($K$9-$J$9-$I$9-$H$9)*-$H$17</f>
        <v>0</v>
      </c>
      <c r="G17" s="1">
        <f>G$9/($K$9-$J$9-$I$9-$H$9)*-$H$17</f>
        <v>425158.42125728319</v>
      </c>
      <c r="H17" s="1">
        <f>-H15</f>
        <v>-2552686.8495867224</v>
      </c>
      <c r="K17" s="1">
        <v>0</v>
      </c>
    </row>
    <row r="18" spans="1:11" x14ac:dyDescent="0.2">
      <c r="A18" t="s">
        <v>4</v>
      </c>
      <c r="B18" s="1">
        <f>+B15+B17</f>
        <v>16578231.93826196</v>
      </c>
      <c r="C18" s="1">
        <f>+C15+C17</f>
        <v>169516.43873638267</v>
      </c>
      <c r="D18" s="1">
        <f>+D15+D17</f>
        <v>1289437.837742236</v>
      </c>
      <c r="E18" s="1">
        <f>+E15+E17</f>
        <v>0</v>
      </c>
      <c r="G18" s="1">
        <f>+G15+G17</f>
        <v>3604493.1352594234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21641679.350000001</v>
      </c>
    </row>
    <row r="20" spans="1:11" x14ac:dyDescent="0.2">
      <c r="A20" t="s">
        <v>7</v>
      </c>
      <c r="B20" s="1">
        <f>B$9/($K$9-$J$9-$I$9-$H$9-$G$9)*-$G$20</f>
        <v>3312940.416802323</v>
      </c>
      <c r="C20" s="1">
        <f>C$9/($K$9-$J$9-$I$9-$H$9-$G$9)*-$G$20</f>
        <v>33875.61853963507</v>
      </c>
      <c r="D20" s="1">
        <f>D$9/($K$9-$J$9-$I$9-$H$9-$G$9)*-$G$20</f>
        <v>257677.09991746585</v>
      </c>
      <c r="E20" s="1">
        <f>E$9/($K$9-$J$9-$I$9-$H$9-$G$9)*-$G$20</f>
        <v>0</v>
      </c>
      <c r="G20" s="1">
        <f>-G18</f>
        <v>-3604493.1352594234</v>
      </c>
      <c r="K20" s="1">
        <f>SUM(B20:J20)</f>
        <v>0</v>
      </c>
    </row>
    <row r="22" spans="1:11" x14ac:dyDescent="0.2">
      <c r="A22" t="s">
        <v>8</v>
      </c>
      <c r="B22" s="1">
        <f>+B20+B18</f>
        <v>19891172.355064284</v>
      </c>
      <c r="C22" s="1">
        <f t="shared" ref="C22:K22" si="3">+C20+C18</f>
        <v>203392.05727601773</v>
      </c>
      <c r="D22" s="1">
        <f t="shared" si="3"/>
        <v>1547114.9376597018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21641679.350000001</v>
      </c>
    </row>
    <row r="27" spans="1:11" x14ac:dyDescent="0.2">
      <c r="A27" t="s">
        <v>9</v>
      </c>
      <c r="B27" s="1">
        <f>+B9</f>
        <v>10840990.029999999</v>
      </c>
    </row>
    <row r="28" spans="1:11" x14ac:dyDescent="0.2">
      <c r="A28" t="s">
        <v>10</v>
      </c>
      <c r="B28" s="1">
        <f>+B22-B27</f>
        <v>9050182.3250642847</v>
      </c>
    </row>
    <row r="29" spans="1:11" x14ac:dyDescent="0.2">
      <c r="A29" s="35" t="s">
        <v>114</v>
      </c>
      <c r="B29" s="1">
        <v>2170</v>
      </c>
    </row>
    <row r="30" spans="1:11" x14ac:dyDescent="0.2">
      <c r="A30" t="s">
        <v>11</v>
      </c>
      <c r="B30" s="1">
        <f>+B28/B29</f>
        <v>4170.5909332093479</v>
      </c>
    </row>
  </sheetData>
  <phoneticPr fontId="0" type="noConversion"/>
  <pageMargins left="0.43" right="0.17" top="0.73" bottom="0.33" header="0.27" footer="0.25"/>
  <pageSetup orientation="landscape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Table'!B34</f>
        <v>1096105.1399999999</v>
      </c>
      <c r="C9" s="1">
        <f>'Master Expend Table'!C34</f>
        <v>11394.89</v>
      </c>
      <c r="D9" s="1">
        <f>'Master Expend Table'!D34</f>
        <v>2153</v>
      </c>
      <c r="E9" s="1">
        <f>'Master Expend Table'!E34</f>
        <v>152834.99</v>
      </c>
      <c r="G9" s="1">
        <f>'Master Expend Table'!G34</f>
        <v>253682.3</v>
      </c>
      <c r="H9" s="1">
        <f>'Master Expend Table'!H34</f>
        <v>474356.97</v>
      </c>
      <c r="I9" s="1">
        <f>'Master Expend Table'!I34</f>
        <v>742493.72</v>
      </c>
      <c r="J9" s="1">
        <f>'Master Expend Table'!J34</f>
        <v>381947.17</v>
      </c>
      <c r="K9" s="1">
        <f>SUM(B9:J9)</f>
        <v>3114968.1799999997</v>
      </c>
    </row>
    <row r="11" spans="1:11" x14ac:dyDescent="0.2">
      <c r="A11" t="s">
        <v>3</v>
      </c>
      <c r="B11" s="1">
        <f>(B9/($K9-$J9))*-$J$11</f>
        <v>153183.69478815451</v>
      </c>
      <c r="C11" s="1">
        <f t="shared" ref="C11:I11" si="0">(C9/($K9-$J9))*-$J$11</f>
        <v>1592.4670802151279</v>
      </c>
      <c r="D11" s="1">
        <f t="shared" si="0"/>
        <v>300.88764557649705</v>
      </c>
      <c r="E11" s="1">
        <f t="shared" si="0"/>
        <v>21359.108361731291</v>
      </c>
      <c r="G11" s="1">
        <f t="shared" si="0"/>
        <v>35452.796085197675</v>
      </c>
      <c r="H11" s="1">
        <f t="shared" si="0"/>
        <v>66292.685492847682</v>
      </c>
      <c r="I11" s="1">
        <f t="shared" si="0"/>
        <v>103765.53054627722</v>
      </c>
      <c r="J11" s="1">
        <f>-J9</f>
        <v>-381947.17</v>
      </c>
      <c r="K11" s="1">
        <v>0</v>
      </c>
    </row>
    <row r="12" spans="1:11" x14ac:dyDescent="0.2">
      <c r="A12" t="s">
        <v>4</v>
      </c>
      <c r="B12" s="1">
        <f>+B9+B11</f>
        <v>1249288.8347881543</v>
      </c>
      <c r="C12" s="1">
        <f t="shared" ref="C12:J12" si="1">+C9+C11</f>
        <v>12987.357080215128</v>
      </c>
      <c r="D12" s="1">
        <f t="shared" si="1"/>
        <v>2453.8876455764971</v>
      </c>
      <c r="E12" s="1">
        <f t="shared" si="1"/>
        <v>174194.09836173127</v>
      </c>
      <c r="G12" s="1">
        <f t="shared" si="1"/>
        <v>289135.09608519764</v>
      </c>
      <c r="H12" s="1">
        <f t="shared" si="1"/>
        <v>540649.65549284767</v>
      </c>
      <c r="I12" s="1">
        <f t="shared" si="1"/>
        <v>846259.25054627715</v>
      </c>
      <c r="J12" s="1">
        <f t="shared" si="1"/>
        <v>0</v>
      </c>
      <c r="K12" s="1">
        <f>SUM(B12:J12)</f>
        <v>3114968.1799999997</v>
      </c>
    </row>
    <row r="14" spans="1:11" x14ac:dyDescent="0.2">
      <c r="A14" t="s">
        <v>5</v>
      </c>
      <c r="B14" s="1">
        <f>B$9/($K$9-$J$9-$I$9)*-I14</f>
        <v>466001.70666151587</v>
      </c>
      <c r="C14" s="1">
        <f t="shared" ref="C14:H14" si="2">C$9/($K$9-$J$9-$I$9)*-$I$14</f>
        <v>4844.4606210132742</v>
      </c>
      <c r="D14" s="1">
        <f t="shared" si="2"/>
        <v>915.33342726797525</v>
      </c>
      <c r="E14" s="1">
        <f t="shared" si="2"/>
        <v>64976.765073463401</v>
      </c>
      <c r="G14" s="1">
        <f t="shared" si="2"/>
        <v>107851.31866986654</v>
      </c>
      <c r="H14" s="1">
        <f t="shared" si="2"/>
        <v>201669.66609315007</v>
      </c>
      <c r="I14" s="1">
        <f>-I12</f>
        <v>-846259.25054627715</v>
      </c>
      <c r="K14" s="1">
        <v>0</v>
      </c>
    </row>
    <row r="15" spans="1:11" x14ac:dyDescent="0.2">
      <c r="A15" t="s">
        <v>4</v>
      </c>
      <c r="B15" s="1">
        <f>+B12+B14</f>
        <v>1715290.5414496702</v>
      </c>
      <c r="C15" s="1">
        <f>+C12+C14</f>
        <v>17831.817701228403</v>
      </c>
      <c r="D15" s="1">
        <f>+D12+D14</f>
        <v>3369.2210728444725</v>
      </c>
      <c r="E15" s="1">
        <f>+E12+E14</f>
        <v>239170.86343519468</v>
      </c>
      <c r="G15" s="1">
        <f>+G12+G14</f>
        <v>396986.41475506418</v>
      </c>
      <c r="H15" s="1">
        <f>+H12+H14</f>
        <v>742319.32158599771</v>
      </c>
      <c r="I15" s="1">
        <f>+I12+I14</f>
        <v>0</v>
      </c>
      <c r="J15" s="1">
        <f>+J12+J14</f>
        <v>0</v>
      </c>
      <c r="K15" s="1">
        <f>SUM(B15:J15)</f>
        <v>3114968.1799999997</v>
      </c>
    </row>
    <row r="17" spans="1:11" x14ac:dyDescent="0.2">
      <c r="A17" t="s">
        <v>6</v>
      </c>
      <c r="B17" s="1">
        <f>B$9/($K$9-$J$9-$I$9-$H$9)*-$H$17</f>
        <v>536654.76310849097</v>
      </c>
      <c r="C17" s="1">
        <f>C$9/($K$9-$J$9-$I$9-$H$9)*-$H$17</f>
        <v>5578.9556771874213</v>
      </c>
      <c r="D17" s="1">
        <f>D$9/($K$9-$J$9-$I$9-$H$9)*-$H$17</f>
        <v>1054.112112796571</v>
      </c>
      <c r="E17" s="1">
        <f>E$9/($K$9-$J$9-$I$9-$H$9)*-$H$17</f>
        <v>74828.246269457872</v>
      </c>
      <c r="G17" s="1">
        <f>G$9/($K$9-$J$9-$I$9-$H$9)*-$H$17</f>
        <v>124203.24441806483</v>
      </c>
      <c r="H17" s="1">
        <f>-H15</f>
        <v>-742319.32158599771</v>
      </c>
      <c r="K17" s="1">
        <v>0</v>
      </c>
    </row>
    <row r="18" spans="1:11" x14ac:dyDescent="0.2">
      <c r="A18" t="s">
        <v>4</v>
      </c>
      <c r="B18" s="1">
        <f>+B15+B17</f>
        <v>2251945.3045581612</v>
      </c>
      <c r="C18" s="1">
        <f>+C15+C17</f>
        <v>23410.773378415826</v>
      </c>
      <c r="D18" s="1">
        <f>+D15+D17</f>
        <v>4423.3331856410432</v>
      </c>
      <c r="E18" s="1">
        <f>+E15+E17</f>
        <v>313999.10970465257</v>
      </c>
      <c r="G18" s="1">
        <f>+G15+G17</f>
        <v>521189.65917312901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3114968.1799999997</v>
      </c>
    </row>
    <row r="20" spans="1:11" x14ac:dyDescent="0.2">
      <c r="A20" t="s">
        <v>7</v>
      </c>
      <c r="B20" s="1">
        <f>B$9/($K$9-$J$9-$I$9-$H$9-$G$9)*-$G$20</f>
        <v>452502.24579122331</v>
      </c>
      <c r="C20" s="1">
        <f>C$9/($K$9-$J$9-$I$9-$H$9-$G$9)*-$G$20</f>
        <v>4704.1229234122129</v>
      </c>
      <c r="D20" s="1">
        <f>D$9/($K$9-$J$9-$I$9-$H$9-$G$9)*-$G$20</f>
        <v>888.8174132533527</v>
      </c>
      <c r="E20" s="1">
        <f>E$9/($K$9-$J$9-$I$9-$H$9-$G$9)*-$G$20</f>
        <v>63094.473045240135</v>
      </c>
      <c r="G20" s="1">
        <f>-G18</f>
        <v>-521189.65917312901</v>
      </c>
      <c r="K20" s="1">
        <f>SUM(B20:J20)</f>
        <v>0</v>
      </c>
    </row>
    <row r="22" spans="1:11" x14ac:dyDescent="0.2">
      <c r="A22" t="s">
        <v>8</v>
      </c>
      <c r="B22" s="1">
        <f>+B20+B18</f>
        <v>2704447.5503493845</v>
      </c>
      <c r="C22" s="1">
        <f t="shared" ref="C22:K22" si="3">+C20+C18</f>
        <v>28114.896301828041</v>
      </c>
      <c r="D22" s="1">
        <f t="shared" si="3"/>
        <v>5312.1505988943954</v>
      </c>
      <c r="E22" s="1">
        <f t="shared" si="3"/>
        <v>377093.58274989272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3114968.1799999997</v>
      </c>
    </row>
    <row r="27" spans="1:11" x14ac:dyDescent="0.2">
      <c r="A27" t="s">
        <v>9</v>
      </c>
      <c r="B27" s="1">
        <f>+B9</f>
        <v>1096105.1399999999</v>
      </c>
    </row>
    <row r="28" spans="1:11" x14ac:dyDescent="0.2">
      <c r="A28" t="s">
        <v>10</v>
      </c>
      <c r="B28" s="1">
        <f>+B22-B27</f>
        <v>1608342.4103493846</v>
      </c>
    </row>
    <row r="29" spans="1:11" x14ac:dyDescent="0.2">
      <c r="A29" s="35" t="s">
        <v>114</v>
      </c>
      <c r="B29" s="1">
        <v>267</v>
      </c>
    </row>
    <row r="30" spans="1:11" x14ac:dyDescent="0.2">
      <c r="A30" t="s">
        <v>11</v>
      </c>
      <c r="B30" s="1">
        <f>+B28/B29</f>
        <v>6023.7543458778455</v>
      </c>
    </row>
  </sheetData>
  <phoneticPr fontId="0" type="noConversion"/>
  <pageMargins left="0.4" right="0.55000000000000004" top="1" bottom="0.6" header="0.5" footer="0.5"/>
  <pageSetup scale="96" orientation="landscape" horizontalDpi="4294967294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710937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Table'!B35</f>
        <v>1999612.42</v>
      </c>
      <c r="C9" s="1">
        <f>'Master Expend Table'!C35</f>
        <v>0</v>
      </c>
      <c r="D9" s="1">
        <f>'Master Expend Table'!D35</f>
        <v>109689.07</v>
      </c>
      <c r="E9" s="1">
        <f>'Master Expend Table'!E35</f>
        <v>0</v>
      </c>
      <c r="G9" s="1">
        <f>'Master Expend Table'!G35</f>
        <v>668025.72</v>
      </c>
      <c r="H9" s="1">
        <f>'Master Expend Table'!H35</f>
        <v>997186.2</v>
      </c>
      <c r="I9" s="1">
        <f>'Master Expend Table'!I35</f>
        <v>1101185.51</v>
      </c>
      <c r="J9" s="1">
        <f>'Master Expend Table'!J35</f>
        <v>557721.67000000004</v>
      </c>
      <c r="K9" s="1">
        <f>SUM(B9:J9)</f>
        <v>5433420.5899999999</v>
      </c>
    </row>
    <row r="11" spans="1:11" x14ac:dyDescent="0.2">
      <c r="A11" t="s">
        <v>3</v>
      </c>
      <c r="B11" s="1">
        <f>(B9/($K9-$J9))*-$J$11</f>
        <v>228731.75652017936</v>
      </c>
      <c r="C11" s="1">
        <f t="shared" ref="C11:I11" si="0">(C9/($K9-$J9))*-$J$11</f>
        <v>0</v>
      </c>
      <c r="D11" s="1">
        <f t="shared" si="0"/>
        <v>12547.118332144042</v>
      </c>
      <c r="E11" s="1">
        <f t="shared" si="0"/>
        <v>0</v>
      </c>
      <c r="G11" s="1">
        <f t="shared" si="0"/>
        <v>76414.156467510591</v>
      </c>
      <c r="H11" s="1">
        <f t="shared" si="0"/>
        <v>114066.18043694831</v>
      </c>
      <c r="I11" s="1">
        <f t="shared" si="0"/>
        <v>125962.45824321773</v>
      </c>
      <c r="J11" s="1">
        <f>-J9</f>
        <v>-557721.67000000004</v>
      </c>
      <c r="K11" s="1">
        <v>0</v>
      </c>
    </row>
    <row r="12" spans="1:11" x14ac:dyDescent="0.2">
      <c r="A12" t="s">
        <v>4</v>
      </c>
      <c r="B12" s="1">
        <f>+B9+B11</f>
        <v>2228344.1765201795</v>
      </c>
      <c r="C12" s="1">
        <f t="shared" ref="C12:J12" si="1">+C9+C11</f>
        <v>0</v>
      </c>
      <c r="D12" s="1">
        <f t="shared" si="1"/>
        <v>122236.18833214405</v>
      </c>
      <c r="E12" s="1">
        <f t="shared" si="1"/>
        <v>0</v>
      </c>
      <c r="G12" s="1">
        <f t="shared" si="1"/>
        <v>744439.87646751059</v>
      </c>
      <c r="H12" s="1">
        <f t="shared" si="1"/>
        <v>1111252.3804369483</v>
      </c>
      <c r="I12" s="1">
        <f t="shared" si="1"/>
        <v>1227147.9682432178</v>
      </c>
      <c r="J12" s="1">
        <f t="shared" si="1"/>
        <v>0</v>
      </c>
      <c r="K12" s="1">
        <f>SUM(B12:J12)</f>
        <v>5433420.5900000008</v>
      </c>
    </row>
    <row r="14" spans="1:11" x14ac:dyDescent="0.2">
      <c r="A14" t="s">
        <v>5</v>
      </c>
      <c r="B14" s="1">
        <f>B$9/($K$9-$J$9-$I$9)*-I14</f>
        <v>650102.42432200117</v>
      </c>
      <c r="C14" s="1">
        <f t="shared" ref="C14:H14" si="2">C$9/($K$9-$J$9-$I$9)*-$I$14</f>
        <v>0</v>
      </c>
      <c r="D14" s="1">
        <f t="shared" si="2"/>
        <v>35661.476001747229</v>
      </c>
      <c r="E14" s="1">
        <f t="shared" si="2"/>
        <v>0</v>
      </c>
      <c r="G14" s="1">
        <f t="shared" si="2"/>
        <v>217184.65825564854</v>
      </c>
      <c r="H14" s="1">
        <f t="shared" si="2"/>
        <v>324199.40966382076</v>
      </c>
      <c r="I14" s="1">
        <f>-I12</f>
        <v>-1227147.9682432178</v>
      </c>
      <c r="K14" s="1">
        <v>0</v>
      </c>
    </row>
    <row r="15" spans="1:11" x14ac:dyDescent="0.2">
      <c r="A15" t="s">
        <v>4</v>
      </c>
      <c r="B15" s="1">
        <f>+B12+B14</f>
        <v>2878446.6008421807</v>
      </c>
      <c r="C15" s="1">
        <f>+C12+C14</f>
        <v>0</v>
      </c>
      <c r="D15" s="1">
        <f>+D12+D14</f>
        <v>157897.6643338913</v>
      </c>
      <c r="E15" s="1">
        <f>+E12+E14</f>
        <v>0</v>
      </c>
      <c r="G15" s="1">
        <f>+G12+G14</f>
        <v>961624.53472315916</v>
      </c>
      <c r="H15" s="1">
        <f>+H12+H14</f>
        <v>1435451.7901007691</v>
      </c>
      <c r="I15" s="1">
        <f>+I12+I14</f>
        <v>0</v>
      </c>
      <c r="J15" s="1">
        <f>+J12+J14</f>
        <v>0</v>
      </c>
      <c r="K15" s="1">
        <f>SUM(B15:J15)</f>
        <v>5433420.5899999999</v>
      </c>
    </row>
    <row r="17" spans="1:11" x14ac:dyDescent="0.2">
      <c r="A17" t="s">
        <v>6</v>
      </c>
      <c r="B17" s="1">
        <f>B$9/($K$9-$J$9-$I$9-$H$9)*-$H$17</f>
        <v>1033492.6390602463</v>
      </c>
      <c r="C17" s="1">
        <f>C$9/($K$9-$J$9-$I$9-$H$9)*-$H$17</f>
        <v>0</v>
      </c>
      <c r="D17" s="1">
        <f>D$9/($K$9-$J$9-$I$9-$H$9)*-$H$17</f>
        <v>56692.409637245655</v>
      </c>
      <c r="E17" s="1">
        <f>E$9/($K$9-$J$9-$I$9-$H$9)*-$H$17</f>
        <v>0</v>
      </c>
      <c r="G17" s="1">
        <f>G$9/($K$9-$J$9-$I$9-$H$9)*-$H$17</f>
        <v>345266.74140327709</v>
      </c>
      <c r="H17" s="1">
        <f>-H15</f>
        <v>-1435451.7901007691</v>
      </c>
      <c r="K17" s="1">
        <v>0</v>
      </c>
    </row>
    <row r="18" spans="1:11" x14ac:dyDescent="0.2">
      <c r="A18" t="s">
        <v>4</v>
      </c>
      <c r="B18" s="1">
        <f>+B15+B17</f>
        <v>3911939.239902427</v>
      </c>
      <c r="C18" s="1">
        <f>+C15+C17</f>
        <v>0</v>
      </c>
      <c r="D18" s="1">
        <f>+D15+D17</f>
        <v>214590.07397113694</v>
      </c>
      <c r="E18" s="1">
        <f>+E15+E17</f>
        <v>0</v>
      </c>
      <c r="G18" s="1">
        <f>+G15+G17</f>
        <v>1306891.2761264362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5433420.5899999999</v>
      </c>
    </row>
    <row r="20" spans="1:11" x14ac:dyDescent="0.2">
      <c r="A20" t="s">
        <v>7</v>
      </c>
      <c r="B20" s="1">
        <f>B$9/($K$9-$J$9-$I$9-$H$9-$G$9)*-$G$20</f>
        <v>1238929.5886440922</v>
      </c>
      <c r="C20" s="1">
        <f>C$9/($K$9-$J$9-$I$9-$H$9-$G$9)*-$G$20</f>
        <v>0</v>
      </c>
      <c r="D20" s="1">
        <f>D$9/($K$9-$J$9-$I$9-$H$9-$G$9)*-$G$20</f>
        <v>67961.687482343725</v>
      </c>
      <c r="E20" s="1">
        <f>E$9/($K$9-$J$9-$I$9-$H$9-$G$9)*-$G$20</f>
        <v>0</v>
      </c>
      <c r="G20" s="1">
        <f>-G18</f>
        <v>-1306891.2761264362</v>
      </c>
      <c r="K20" s="1">
        <f>SUM(B20:J20)</f>
        <v>0</v>
      </c>
    </row>
    <row r="22" spans="1:11" x14ac:dyDescent="0.2">
      <c r="A22" t="s">
        <v>8</v>
      </c>
      <c r="B22" s="1">
        <f>+B20+B18</f>
        <v>5150868.8285465194</v>
      </c>
      <c r="C22" s="1">
        <f t="shared" ref="C22:K22" si="3">+C20+C18</f>
        <v>0</v>
      </c>
      <c r="D22" s="1">
        <f t="shared" si="3"/>
        <v>282551.76145348069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5433420.5899999999</v>
      </c>
    </row>
    <row r="27" spans="1:11" x14ac:dyDescent="0.2">
      <c r="A27" t="s">
        <v>9</v>
      </c>
      <c r="B27" s="1">
        <f>+B9</f>
        <v>1999612.42</v>
      </c>
    </row>
    <row r="28" spans="1:11" x14ac:dyDescent="0.2">
      <c r="A28" t="s">
        <v>10</v>
      </c>
      <c r="B28" s="1">
        <f>+B22-B27</f>
        <v>3151256.4085465195</v>
      </c>
    </row>
    <row r="29" spans="1:11" x14ac:dyDescent="0.2">
      <c r="A29" s="35" t="s">
        <v>114</v>
      </c>
      <c r="B29" s="1">
        <v>593</v>
      </c>
    </row>
    <row r="30" spans="1:11" x14ac:dyDescent="0.2">
      <c r="A30" t="s">
        <v>11</v>
      </c>
      <c r="B30" s="1">
        <f>+B28/B29</f>
        <v>5314.0917513432032</v>
      </c>
    </row>
  </sheetData>
  <phoneticPr fontId="0" type="noConversion"/>
  <pageMargins left="0.52" right="0.45" top="1" bottom="1" header="0.5" footer="0.5"/>
  <pageSetup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Table'!B37</f>
        <v>12858399.41</v>
      </c>
      <c r="C9" s="1">
        <f>'Master Expend Table'!C37</f>
        <v>9935.1</v>
      </c>
      <c r="D9" s="1">
        <f>'Master Expend Table'!D37</f>
        <v>644982.35</v>
      </c>
      <c r="E9" s="1">
        <f>'Master Expend Table'!E37</f>
        <v>243025.78</v>
      </c>
      <c r="G9" s="1">
        <f>'Master Expend Table'!G37</f>
        <v>3562786.16</v>
      </c>
      <c r="H9" s="1">
        <f>'Master Expend Table'!H37</f>
        <v>2606588.4900000002</v>
      </c>
      <c r="I9" s="1">
        <f>'Master Expend Table'!I37</f>
        <v>3751739.74</v>
      </c>
      <c r="J9" s="1">
        <f>'Master Expend Table'!J37</f>
        <v>2643199.8199999998</v>
      </c>
      <c r="K9" s="1">
        <f>SUM(B9:J9)</f>
        <v>26320656.850000001</v>
      </c>
    </row>
    <row r="11" spans="1:11" x14ac:dyDescent="0.2">
      <c r="A11" t="s">
        <v>3</v>
      </c>
      <c r="B11" s="1">
        <f>(B9/($K9-$J9))*-$J$11</f>
        <v>1435429.4451020318</v>
      </c>
      <c r="C11" s="1">
        <f t="shared" ref="C11:I11" si="0">(C9/($K9-$J9))*-$J$11</f>
        <v>1109.0910015551613</v>
      </c>
      <c r="D11" s="1">
        <f t="shared" si="0"/>
        <v>72001.703107860172</v>
      </c>
      <c r="E11" s="1">
        <f t="shared" si="0"/>
        <v>27129.843257131211</v>
      </c>
      <c r="G11" s="1">
        <f t="shared" si="0"/>
        <v>397726.65303029335</v>
      </c>
      <c r="H11" s="1">
        <f t="shared" si="0"/>
        <v>290982.86268042156</v>
      </c>
      <c r="I11" s="1">
        <f t="shared" si="0"/>
        <v>418820.2218207065</v>
      </c>
      <c r="J11" s="1">
        <f>-J9</f>
        <v>-2643199.8199999998</v>
      </c>
      <c r="K11" s="1">
        <v>0</v>
      </c>
    </row>
    <row r="12" spans="1:11" x14ac:dyDescent="0.2">
      <c r="A12" t="s">
        <v>4</v>
      </c>
      <c r="B12" s="1">
        <f>+B9+B11</f>
        <v>14293828.855102032</v>
      </c>
      <c r="C12" s="1">
        <f t="shared" ref="C12:J12" si="1">+C9+C11</f>
        <v>11044.191001555162</v>
      </c>
      <c r="D12" s="1">
        <f t="shared" si="1"/>
        <v>716984.05310786015</v>
      </c>
      <c r="E12" s="1">
        <f t="shared" si="1"/>
        <v>270155.6232571312</v>
      </c>
      <c r="G12" s="1">
        <f t="shared" si="1"/>
        <v>3960512.8130302937</v>
      </c>
      <c r="H12" s="1">
        <f t="shared" si="1"/>
        <v>2897571.3526804219</v>
      </c>
      <c r="I12" s="1">
        <f t="shared" si="1"/>
        <v>4170559.9618207067</v>
      </c>
      <c r="J12" s="1">
        <f t="shared" si="1"/>
        <v>0</v>
      </c>
      <c r="K12" s="1">
        <f>SUM(B12:J12)</f>
        <v>26320656.850000001</v>
      </c>
    </row>
    <row r="14" spans="1:11" x14ac:dyDescent="0.2">
      <c r="A14" t="s">
        <v>5</v>
      </c>
      <c r="B14" s="1">
        <f>B$9/($K$9-$J$9-$I$9)*-I14</f>
        <v>2691332.2603125721</v>
      </c>
      <c r="C14" s="1">
        <f t="shared" ref="C14:H14" si="2">C$9/($K$9-$J$9-$I$9)*-$I$14</f>
        <v>2079.4699469855277</v>
      </c>
      <c r="D14" s="1">
        <f t="shared" si="2"/>
        <v>134998.28015431153</v>
      </c>
      <c r="E14" s="1">
        <f t="shared" si="2"/>
        <v>50866.604850753029</v>
      </c>
      <c r="G14" s="1">
        <f t="shared" si="2"/>
        <v>745710.33479843894</v>
      </c>
      <c r="H14" s="1">
        <f t="shared" si="2"/>
        <v>545573.01175764576</v>
      </c>
      <c r="I14" s="1">
        <f>-I12</f>
        <v>-4170559.9618207067</v>
      </c>
      <c r="K14" s="1">
        <v>0</v>
      </c>
    </row>
    <row r="15" spans="1:11" x14ac:dyDescent="0.2">
      <c r="A15" t="s">
        <v>4</v>
      </c>
      <c r="B15" s="1">
        <f>+B12+B14</f>
        <v>16985161.115414605</v>
      </c>
      <c r="C15" s="1">
        <f>+C12+C14</f>
        <v>13123.66094854069</v>
      </c>
      <c r="D15" s="1">
        <f>+D12+D14</f>
        <v>851982.33326217171</v>
      </c>
      <c r="E15" s="1">
        <f>+E12+E14</f>
        <v>321022.22810788424</v>
      </c>
      <c r="G15" s="1">
        <f>+G12+G14</f>
        <v>4706223.1478287326</v>
      </c>
      <c r="H15" s="1">
        <f>+H12+H14</f>
        <v>3443144.3644380677</v>
      </c>
      <c r="I15" s="1">
        <f>+I12+I14</f>
        <v>0</v>
      </c>
      <c r="J15" s="1">
        <f>+J12+J14</f>
        <v>0</v>
      </c>
      <c r="K15" s="1">
        <f>SUM(B15:J15)</f>
        <v>26320656.850000001</v>
      </c>
    </row>
    <row r="17" spans="1:11" x14ac:dyDescent="0.2">
      <c r="A17" t="s">
        <v>6</v>
      </c>
      <c r="B17" s="1">
        <f>B$9/($K$9-$J$9-$I$9-$H$9)*-$H$17</f>
        <v>2556325.2040850511</v>
      </c>
      <c r="C17" s="1">
        <f>C$9/($K$9-$J$9-$I$9-$H$9)*-$H$17</f>
        <v>1975.1561392123058</v>
      </c>
      <c r="D17" s="1">
        <f>D$9/($K$9-$J$9-$I$9-$H$9)*-$H$17</f>
        <v>128226.27334260149</v>
      </c>
      <c r="E17" s="1">
        <f>E$9/($K$9-$J$9-$I$9-$H$9)*-$H$17</f>
        <v>48314.950161936889</v>
      </c>
      <c r="G17" s="1">
        <f>G$9/($K$9-$J$9-$I$9-$H$9)*-$H$17</f>
        <v>708302.78070926678</v>
      </c>
      <c r="H17" s="1">
        <f>-H15</f>
        <v>-3443144.3644380677</v>
      </c>
      <c r="K17" s="1">
        <v>0</v>
      </c>
    </row>
    <row r="18" spans="1:11" x14ac:dyDescent="0.2">
      <c r="A18" t="s">
        <v>4</v>
      </c>
      <c r="B18" s="1">
        <f>+B15+B17</f>
        <v>19541486.319499657</v>
      </c>
      <c r="C18" s="1">
        <f>+C15+C17</f>
        <v>15098.817087752996</v>
      </c>
      <c r="D18" s="1">
        <f>+D15+D17</f>
        <v>980208.6066047732</v>
      </c>
      <c r="E18" s="1">
        <f>+E15+E17</f>
        <v>369337.1782698211</v>
      </c>
      <c r="G18" s="1">
        <f>+G15+G17</f>
        <v>5414525.9285379993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26320656.850000005</v>
      </c>
    </row>
    <row r="20" spans="1:11" x14ac:dyDescent="0.2">
      <c r="A20" t="s">
        <v>7</v>
      </c>
      <c r="B20" s="1">
        <f>B$9/($K$9-$J$9-$I$9-$H$9-$G$9)*-$G$20</f>
        <v>5061093.5498581566</v>
      </c>
      <c r="C20" s="1">
        <f>C$9/($K$9-$J$9-$I$9-$H$9-$G$9)*-$G$20</f>
        <v>3910.4766405133601</v>
      </c>
      <c r="D20" s="1">
        <f>D$9/($K$9-$J$9-$I$9-$H$9-$G$9)*-$G$20</f>
        <v>253866.43448162699</v>
      </c>
      <c r="E20" s="1">
        <f>E$9/($K$9-$J$9-$I$9-$H$9-$G$9)*-$G$20</f>
        <v>95655.467557703378</v>
      </c>
      <c r="G20" s="1">
        <f>-G18</f>
        <v>-5414525.9285379993</v>
      </c>
      <c r="K20" s="1">
        <f>SUM(B20:J20)</f>
        <v>0</v>
      </c>
    </row>
    <row r="22" spans="1:11" x14ac:dyDescent="0.2">
      <c r="A22" t="s">
        <v>8</v>
      </c>
      <c r="B22" s="1">
        <f>+B20+B18</f>
        <v>24602579.869357813</v>
      </c>
      <c r="C22" s="1">
        <f t="shared" ref="C22:K22" si="3">+C20+C18</f>
        <v>19009.293728266355</v>
      </c>
      <c r="D22" s="1">
        <f t="shared" si="3"/>
        <v>1234075.0410864002</v>
      </c>
      <c r="E22" s="1">
        <f t="shared" si="3"/>
        <v>464992.64582752448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26320656.850000005</v>
      </c>
    </row>
    <row r="27" spans="1:11" x14ac:dyDescent="0.2">
      <c r="A27" t="s">
        <v>9</v>
      </c>
      <c r="B27" s="1">
        <f>B9</f>
        <v>12858399.41</v>
      </c>
    </row>
    <row r="28" spans="1:11" x14ac:dyDescent="0.2">
      <c r="A28" t="s">
        <v>10</v>
      </c>
      <c r="B28" s="1">
        <f>+B22-B27</f>
        <v>11744180.459357813</v>
      </c>
    </row>
    <row r="29" spans="1:11" x14ac:dyDescent="0.2">
      <c r="A29" s="35" t="s">
        <v>114</v>
      </c>
      <c r="B29" s="1">
        <v>2558</v>
      </c>
    </row>
    <row r="30" spans="1:11" x14ac:dyDescent="0.2">
      <c r="A30" t="s">
        <v>11</v>
      </c>
      <c r="B30" s="1">
        <f>+B28/B29</f>
        <v>4591.1573336035235</v>
      </c>
    </row>
  </sheetData>
  <phoneticPr fontId="0" type="noConversion"/>
  <pageMargins left="0.51" right="0.55000000000000004" top="1" bottom="0.62" header="0.5" footer="0.5"/>
  <pageSetup scale="97" orientation="landscape" horizontalDpi="4294967294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14062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Table'!B38</f>
        <v>3329107.08</v>
      </c>
      <c r="C9" s="1">
        <f>'Master Expend Table'!C38</f>
        <v>66702.2</v>
      </c>
      <c r="D9" s="1">
        <f>'Master Expend Table'!D38</f>
        <v>235660.75</v>
      </c>
      <c r="E9" s="1">
        <f>'Master Expend Table'!E38</f>
        <v>0</v>
      </c>
      <c r="G9" s="1">
        <f>'Master Expend Table'!G38</f>
        <v>1008531.89</v>
      </c>
      <c r="H9" s="1">
        <f>'Master Expend Table'!H38</f>
        <v>862286.25</v>
      </c>
      <c r="I9" s="1">
        <f>'Master Expend Table'!I38</f>
        <v>1564361.85</v>
      </c>
      <c r="J9" s="1">
        <f>'Master Expend Table'!J38</f>
        <v>581192.39</v>
      </c>
      <c r="K9" s="1">
        <f>SUM(B9:J9)</f>
        <v>7647842.4099999992</v>
      </c>
    </row>
    <row r="11" spans="1:11" x14ac:dyDescent="0.2">
      <c r="A11" t="s">
        <v>3</v>
      </c>
      <c r="B11" s="1">
        <f>(B9/($K9-$J9))*-$J$11</f>
        <v>273800.41390405822</v>
      </c>
      <c r="C11" s="1">
        <f t="shared" ref="C11:I11" si="0">(C9/($K9-$J9))*-$J$11</f>
        <v>5485.8824091387505</v>
      </c>
      <c r="D11" s="1">
        <f t="shared" si="0"/>
        <v>19381.776957123529</v>
      </c>
      <c r="E11" s="1">
        <f t="shared" si="0"/>
        <v>0</v>
      </c>
      <c r="G11" s="1">
        <f t="shared" si="0"/>
        <v>82946.100044773004</v>
      </c>
      <c r="H11" s="1">
        <f t="shared" si="0"/>
        <v>70918.21514908383</v>
      </c>
      <c r="I11" s="1">
        <f t="shared" si="0"/>
        <v>128660.00153582272</v>
      </c>
      <c r="J11" s="1">
        <f>-J9</f>
        <v>-581192.39</v>
      </c>
      <c r="K11" s="1">
        <v>0</v>
      </c>
    </row>
    <row r="12" spans="1:11" x14ac:dyDescent="0.2">
      <c r="A12" t="s">
        <v>4</v>
      </c>
      <c r="B12" s="1">
        <f>+B9+B11</f>
        <v>3602907.4939040584</v>
      </c>
      <c r="C12" s="1">
        <f t="shared" ref="C12:J12" si="1">+C9+C11</f>
        <v>72188.082409138748</v>
      </c>
      <c r="D12" s="1">
        <f t="shared" si="1"/>
        <v>255042.52695712354</v>
      </c>
      <c r="E12" s="1">
        <f t="shared" si="1"/>
        <v>0</v>
      </c>
      <c r="G12" s="1">
        <f t="shared" si="1"/>
        <v>1091477.9900447731</v>
      </c>
      <c r="H12" s="1">
        <f t="shared" si="1"/>
        <v>933204.46514908387</v>
      </c>
      <c r="I12" s="1">
        <f t="shared" si="1"/>
        <v>1693021.8515358227</v>
      </c>
      <c r="J12" s="1">
        <f t="shared" si="1"/>
        <v>0</v>
      </c>
      <c r="K12" s="1">
        <f>SUM(B12:J12)</f>
        <v>7647842.4100000001</v>
      </c>
    </row>
    <row r="14" spans="1:11" x14ac:dyDescent="0.2">
      <c r="A14" t="s">
        <v>5</v>
      </c>
      <c r="B14" s="1">
        <f>B$9/($K$9-$J$9-$I$9)*-I14</f>
        <v>1024346.7550960016</v>
      </c>
      <c r="C14" s="1">
        <f t="shared" ref="C14:H14" si="2">C$9/($K$9-$J$9-$I$9)*-$I$14</f>
        <v>20523.876368604073</v>
      </c>
      <c r="D14" s="1">
        <f t="shared" si="2"/>
        <v>72511.432875265178</v>
      </c>
      <c r="E14" s="1">
        <f t="shared" si="2"/>
        <v>0</v>
      </c>
      <c r="G14" s="1">
        <f t="shared" si="2"/>
        <v>310319.35714496078</v>
      </c>
      <c r="H14" s="1">
        <f t="shared" si="2"/>
        <v>265320.43005099118</v>
      </c>
      <c r="I14" s="1">
        <f>-I12</f>
        <v>-1693021.8515358227</v>
      </c>
      <c r="K14" s="1">
        <v>0</v>
      </c>
    </row>
    <row r="15" spans="1:11" x14ac:dyDescent="0.2">
      <c r="A15" t="s">
        <v>4</v>
      </c>
      <c r="B15" s="1">
        <f>+B12+B14</f>
        <v>4627254.2490000594</v>
      </c>
      <c r="C15" s="1">
        <f>+C12+C14</f>
        <v>92711.958777742824</v>
      </c>
      <c r="D15" s="1">
        <f>+D12+D14</f>
        <v>327553.95983238873</v>
      </c>
      <c r="E15" s="1">
        <f>+E12+E14</f>
        <v>0</v>
      </c>
      <c r="G15" s="1">
        <f>+G12+G14</f>
        <v>1401797.3471897338</v>
      </c>
      <c r="H15" s="1">
        <f>+H12+H14</f>
        <v>1198524.8952000751</v>
      </c>
      <c r="I15" s="1">
        <f>+I12+I14</f>
        <v>0</v>
      </c>
      <c r="J15" s="1">
        <f>+J12+J14</f>
        <v>0</v>
      </c>
      <c r="K15" s="1">
        <f>SUM(B15:J15)</f>
        <v>7647842.4100000001</v>
      </c>
    </row>
    <row r="17" spans="1:11" x14ac:dyDescent="0.2">
      <c r="A17" t="s">
        <v>6</v>
      </c>
      <c r="B17" s="1">
        <f>B$9/($K$9-$J$9-$I$9-$H$9)*-$H$17</f>
        <v>859917.25498398684</v>
      </c>
      <c r="C17" s="1">
        <f>C$9/($K$9-$J$9-$I$9-$H$9)*-$H$17</f>
        <v>17229.356505226286</v>
      </c>
      <c r="D17" s="1">
        <f>D$9/($K$9-$J$9-$I$9-$H$9)*-$H$17</f>
        <v>60871.801470401355</v>
      </c>
      <c r="E17" s="1">
        <f>E$9/($K$9-$J$9-$I$9-$H$9)*-$H$17</f>
        <v>0</v>
      </c>
      <c r="G17" s="1">
        <f>G$9/($K$9-$J$9-$I$9-$H$9)*-$H$17</f>
        <v>260506.48224046075</v>
      </c>
      <c r="H17" s="1">
        <f>-H15</f>
        <v>-1198524.8952000751</v>
      </c>
      <c r="K17" s="1">
        <v>0</v>
      </c>
    </row>
    <row r="18" spans="1:11" x14ac:dyDescent="0.2">
      <c r="A18" t="s">
        <v>4</v>
      </c>
      <c r="B18" s="1">
        <f>+B15+B17</f>
        <v>5487171.5039840462</v>
      </c>
      <c r="C18" s="1">
        <f>+C15+C17</f>
        <v>109941.31528296911</v>
      </c>
      <c r="D18" s="1">
        <f>+D15+D17</f>
        <v>388425.76130279008</v>
      </c>
      <c r="E18" s="1">
        <f>+E15+E17</f>
        <v>0</v>
      </c>
      <c r="G18" s="1">
        <f>+G15+G17</f>
        <v>1662303.8294301946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7647842.4099999992</v>
      </c>
    </row>
    <row r="20" spans="1:11" x14ac:dyDescent="0.2">
      <c r="A20" t="s">
        <v>7</v>
      </c>
      <c r="B20" s="1">
        <f>B$9/($K$9-$J$9-$I$9-$H$9-$G$9)*-$G$20</f>
        <v>1523897.3203551879</v>
      </c>
      <c r="C20" s="1">
        <f>C$9/($K$9-$J$9-$I$9-$H$9-$G$9)*-$G$20</f>
        <v>30532.903087573799</v>
      </c>
      <c r="D20" s="1">
        <f>D$9/($K$9-$J$9-$I$9-$H$9-$G$9)*-$G$20</f>
        <v>107873.60598743305</v>
      </c>
      <c r="E20" s="1">
        <f>E$9/($K$9-$J$9-$I$9-$H$9-$G$9)*-$G$20</f>
        <v>0</v>
      </c>
      <c r="G20" s="1">
        <f>-G18</f>
        <v>-1662303.8294301946</v>
      </c>
      <c r="K20" s="1">
        <f>SUM(B20:J20)</f>
        <v>0</v>
      </c>
    </row>
    <row r="22" spans="1:11" x14ac:dyDescent="0.2">
      <c r="A22" t="s">
        <v>8</v>
      </c>
      <c r="B22" s="1">
        <f>+B20+B18</f>
        <v>7011068.8243392343</v>
      </c>
      <c r="C22" s="1">
        <f t="shared" ref="C22:K22" si="3">+C20+C18</f>
        <v>140474.21837054292</v>
      </c>
      <c r="D22" s="1">
        <f t="shared" si="3"/>
        <v>496299.36729022313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7647842.4099999992</v>
      </c>
    </row>
    <row r="27" spans="1:11" x14ac:dyDescent="0.2">
      <c r="A27" t="s">
        <v>9</v>
      </c>
      <c r="B27" s="1">
        <f>+B9</f>
        <v>3329107.08</v>
      </c>
    </row>
    <row r="28" spans="1:11" x14ac:dyDescent="0.2">
      <c r="A28" t="s">
        <v>10</v>
      </c>
      <c r="B28" s="1">
        <f>+B22-B27</f>
        <v>3681961.7443392342</v>
      </c>
    </row>
    <row r="29" spans="1:11" x14ac:dyDescent="0.2">
      <c r="A29" s="35" t="s">
        <v>114</v>
      </c>
      <c r="B29" s="1">
        <v>702</v>
      </c>
    </row>
    <row r="30" spans="1:11" x14ac:dyDescent="0.2">
      <c r="A30" t="s">
        <v>11</v>
      </c>
      <c r="B30" s="1">
        <f>+B28/B29</f>
        <v>5244.9597497709892</v>
      </c>
    </row>
  </sheetData>
  <phoneticPr fontId="0" type="noConversion"/>
  <pageMargins left="0.56000000000000005" right="0.55000000000000004" top="1" bottom="0.55000000000000004" header="0.5" footer="0.5"/>
  <pageSetup scale="97" orientation="landscape" horizontalDpi="4294967294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4257812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Table'!B39</f>
        <v>16689663.17</v>
      </c>
      <c r="C9" s="1">
        <f>'Master Expend Table'!C39</f>
        <v>0</v>
      </c>
      <c r="D9" s="1">
        <f>'Master Expend Table'!D39</f>
        <v>1644089.36</v>
      </c>
      <c r="E9" s="1">
        <f>'Master Expend Table'!E39</f>
        <v>1748.45</v>
      </c>
      <c r="G9" s="1">
        <f>'Master Expend Table'!G39</f>
        <v>3455065.34</v>
      </c>
      <c r="H9" s="1">
        <f>'Master Expend Table'!H39</f>
        <v>2575304.06</v>
      </c>
      <c r="I9" s="1">
        <f>'Master Expend Table'!I39</f>
        <v>4953144.92</v>
      </c>
      <c r="J9" s="1">
        <f>'Master Expend Table'!J39</f>
        <v>3112822.17</v>
      </c>
      <c r="K9" s="1">
        <f>SUM(B9:J9)</f>
        <v>32431837.469999999</v>
      </c>
    </row>
    <row r="11" spans="1:11" x14ac:dyDescent="0.2">
      <c r="A11" t="s">
        <v>3</v>
      </c>
      <c r="B11" s="1">
        <f>(B9/($K9-$J9))*-$J$11</f>
        <v>1771954.2417718403</v>
      </c>
      <c r="C11" s="1">
        <f t="shared" ref="C11:I11" si="0">(C9/($K9-$J9))*-$J$11</f>
        <v>0</v>
      </c>
      <c r="D11" s="1">
        <f t="shared" si="0"/>
        <v>174554.21871788142</v>
      </c>
      <c r="E11" s="1">
        <f t="shared" si="0"/>
        <v>185.63426729875545</v>
      </c>
      <c r="G11" s="1">
        <f t="shared" si="0"/>
        <v>366826.91690367198</v>
      </c>
      <c r="H11" s="1">
        <f t="shared" si="0"/>
        <v>273421.99219286232</v>
      </c>
      <c r="I11" s="1">
        <f t="shared" si="0"/>
        <v>525879.16614644544</v>
      </c>
      <c r="J11" s="1">
        <f>-J9</f>
        <v>-3112822.17</v>
      </c>
      <c r="K11" s="1">
        <v>0</v>
      </c>
    </row>
    <row r="12" spans="1:11" x14ac:dyDescent="0.2">
      <c r="A12" t="s">
        <v>4</v>
      </c>
      <c r="B12" s="1">
        <f>+B9+B11</f>
        <v>18461617.411771841</v>
      </c>
      <c r="C12" s="1">
        <f t="shared" ref="C12:J12" si="1">+C9+C11</f>
        <v>0</v>
      </c>
      <c r="D12" s="1">
        <f t="shared" si="1"/>
        <v>1818643.5787178816</v>
      </c>
      <c r="E12" s="1">
        <f t="shared" si="1"/>
        <v>1934.0842672987555</v>
      </c>
      <c r="G12" s="1">
        <f t="shared" si="1"/>
        <v>3821892.2569036717</v>
      </c>
      <c r="H12" s="1">
        <f t="shared" si="1"/>
        <v>2848726.0521928621</v>
      </c>
      <c r="I12" s="1">
        <f t="shared" si="1"/>
        <v>5479024.086146445</v>
      </c>
      <c r="J12" s="1">
        <f t="shared" si="1"/>
        <v>0</v>
      </c>
      <c r="K12" s="1">
        <f>SUM(B12:J12)</f>
        <v>32431837.469999999</v>
      </c>
    </row>
    <row r="14" spans="1:11" x14ac:dyDescent="0.2">
      <c r="A14" t="s">
        <v>5</v>
      </c>
      <c r="B14" s="1">
        <f>B$9/($K$9-$J$9-$I$9)*-I14</f>
        <v>3752916.0695675202</v>
      </c>
      <c r="C14" s="1">
        <f t="shared" ref="C14:H14" si="2">C$9/($K$9-$J$9-$I$9)*-$I$14</f>
        <v>0</v>
      </c>
      <c r="D14" s="1">
        <f t="shared" si="2"/>
        <v>369697.65753211296</v>
      </c>
      <c r="E14" s="1">
        <f t="shared" si="2"/>
        <v>393.16468133582646</v>
      </c>
      <c r="G14" s="1">
        <f t="shared" si="2"/>
        <v>776922.22448200348</v>
      </c>
      <c r="H14" s="1">
        <f t="shared" si="2"/>
        <v>579094.96988347406</v>
      </c>
      <c r="I14" s="1">
        <f>-I12</f>
        <v>-5479024.086146445</v>
      </c>
      <c r="K14" s="1">
        <v>0</v>
      </c>
    </row>
    <row r="15" spans="1:11" x14ac:dyDescent="0.2">
      <c r="A15" t="s">
        <v>4</v>
      </c>
      <c r="B15" s="1">
        <f>+B12+B14</f>
        <v>22214533.481339362</v>
      </c>
      <c r="C15" s="1">
        <f>+C12+C14</f>
        <v>0</v>
      </c>
      <c r="D15" s="1">
        <f>+D12+D14</f>
        <v>2188341.2362499945</v>
      </c>
      <c r="E15" s="1">
        <f>+E12+E14</f>
        <v>2327.2489486345821</v>
      </c>
      <c r="G15" s="1">
        <f>+G12+G14</f>
        <v>4598814.4813856753</v>
      </c>
      <c r="H15" s="1">
        <f>+H12+H14</f>
        <v>3427821.0220763362</v>
      </c>
      <c r="I15" s="1">
        <f>+I12+I14</f>
        <v>0</v>
      </c>
      <c r="J15" s="1">
        <f>+J12+J14</f>
        <v>0</v>
      </c>
      <c r="K15" s="1">
        <f>SUM(B15:J15)</f>
        <v>32431837.469999999</v>
      </c>
    </row>
    <row r="17" spans="1:11" x14ac:dyDescent="0.2">
      <c r="A17" t="s">
        <v>6</v>
      </c>
      <c r="B17" s="1">
        <f>B$9/($K$9-$J$9-$I$9-$H$9)*-$H$17</f>
        <v>2625410.3461731048</v>
      </c>
      <c r="C17" s="1">
        <f>C$9/($K$9-$J$9-$I$9-$H$9)*-$H$17</f>
        <v>0</v>
      </c>
      <c r="D17" s="1">
        <f>D$9/($K$9-$J$9-$I$9-$H$9)*-$H$17</f>
        <v>258627.70097936725</v>
      </c>
      <c r="E17" s="1">
        <f>E$9/($K$9-$J$9-$I$9-$H$9)*-$H$17</f>
        <v>275.04441959126518</v>
      </c>
      <c r="G17" s="1">
        <f>G$9/($K$9-$J$9-$I$9-$H$9)*-$H$17</f>
        <v>543507.93050427362</v>
      </c>
      <c r="H17" s="1">
        <f>-H15</f>
        <v>-3427821.0220763362</v>
      </c>
      <c r="K17" s="1">
        <v>0</v>
      </c>
    </row>
    <row r="18" spans="1:11" x14ac:dyDescent="0.2">
      <c r="A18" t="s">
        <v>4</v>
      </c>
      <c r="B18" s="1">
        <f>+B15+B17</f>
        <v>24839943.827512465</v>
      </c>
      <c r="C18" s="1">
        <f>+C15+C17</f>
        <v>0</v>
      </c>
      <c r="D18" s="1">
        <f>+D15+D17</f>
        <v>2446968.9372293619</v>
      </c>
      <c r="E18" s="1">
        <f>+E15+E17</f>
        <v>2602.2933682258472</v>
      </c>
      <c r="G18" s="1">
        <f>+G15+G17</f>
        <v>5142322.4118899489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32431837.469999999</v>
      </c>
    </row>
    <row r="20" spans="1:11" x14ac:dyDescent="0.2">
      <c r="A20" t="s">
        <v>7</v>
      </c>
      <c r="B20" s="1">
        <f>B$9/($K$9-$J$9-$I$9-$H$9-$G$9)*-$G$20</f>
        <v>4680735.4246606063</v>
      </c>
      <c r="C20" s="1">
        <f>C$9/($K$9-$J$9-$I$9-$H$9-$G$9)*-$G$20</f>
        <v>0</v>
      </c>
      <c r="D20" s="1">
        <f>D$9/($K$9-$J$9-$I$9-$H$9-$G$9)*-$G$20</f>
        <v>461096.62191939756</v>
      </c>
      <c r="E20" s="1">
        <f>E$9/($K$9-$J$9-$I$9-$H$9-$G$9)*-$G$20</f>
        <v>490.36530994578715</v>
      </c>
      <c r="G20" s="1">
        <f>-G18</f>
        <v>-5142322.4118899489</v>
      </c>
      <c r="K20" s="1">
        <f>SUM(B20:J20)</f>
        <v>0</v>
      </c>
    </row>
    <row r="22" spans="1:11" x14ac:dyDescent="0.2">
      <c r="A22" t="s">
        <v>8</v>
      </c>
      <c r="B22" s="1">
        <f>+B20+B18</f>
        <v>29520679.252173074</v>
      </c>
      <c r="C22" s="1">
        <f t="shared" ref="C22:K22" si="3">+C20+C18</f>
        <v>0</v>
      </c>
      <c r="D22" s="1">
        <f t="shared" si="3"/>
        <v>2908065.5591487596</v>
      </c>
      <c r="E22" s="1">
        <f t="shared" si="3"/>
        <v>3092.6586781716342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32431837.469999999</v>
      </c>
    </row>
    <row r="27" spans="1:11" x14ac:dyDescent="0.2">
      <c r="A27" t="s">
        <v>9</v>
      </c>
      <c r="B27" s="1">
        <f>+B9</f>
        <v>16689663.17</v>
      </c>
    </row>
    <row r="28" spans="1:11" x14ac:dyDescent="0.2">
      <c r="A28" t="s">
        <v>10</v>
      </c>
      <c r="B28" s="1">
        <f>+B22-B27</f>
        <v>12831016.082173074</v>
      </c>
    </row>
    <row r="29" spans="1:11" x14ac:dyDescent="0.2">
      <c r="A29" s="35" t="s">
        <v>114</v>
      </c>
      <c r="B29" s="1">
        <v>3077</v>
      </c>
    </row>
    <row r="30" spans="1:11" x14ac:dyDescent="0.2">
      <c r="A30" t="s">
        <v>11</v>
      </c>
      <c r="B30" s="1">
        <f>+B28/B29</f>
        <v>4169.9759773068163</v>
      </c>
    </row>
  </sheetData>
  <phoneticPr fontId="0" type="noConversion"/>
  <pageMargins left="0.59" right="0.55000000000000004" top="1" bottom="0.57999999999999996" header="0.5" footer="0.5"/>
  <pageSetup scale="96" orientation="landscape" horizontalDpi="4294967294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30"/>
  <sheetViews>
    <sheetView zoomScale="75" workbookViewId="0">
      <selection activeCell="C29" sqref="C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5.2851562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Table'!B40</f>
        <v>10742341.199999999</v>
      </c>
      <c r="C9" s="1">
        <f>'Master Expend Table'!C40</f>
        <v>0</v>
      </c>
      <c r="D9" s="1">
        <f>'Master Expend Table'!D40</f>
        <v>1388013.16</v>
      </c>
      <c r="E9" s="1">
        <f>'Master Expend Table'!E40</f>
        <v>127362.93</v>
      </c>
      <c r="G9" s="1">
        <f>'Master Expend Table'!G40</f>
        <v>3136620.76</v>
      </c>
      <c r="H9" s="1">
        <f>'Master Expend Table'!H40</f>
        <v>2771515.53</v>
      </c>
      <c r="I9" s="1">
        <f>'Master Expend Table'!I40</f>
        <v>3579534.06</v>
      </c>
      <c r="J9" s="1">
        <f>'Master Expend Table'!J40</f>
        <v>3001147.29</v>
      </c>
      <c r="K9" s="1">
        <f>SUM(B9:J9)</f>
        <v>24746534.929999996</v>
      </c>
    </row>
    <row r="11" spans="1:11" x14ac:dyDescent="0.2">
      <c r="A11" t="s">
        <v>3</v>
      </c>
      <c r="B11" s="1">
        <f>(B9/($K9-$J9))*-$J$11</f>
        <v>1482583.2822281825</v>
      </c>
      <c r="C11" s="1">
        <f t="shared" ref="C11:I11" si="0">(C9/($K9-$J9))*-$J$11</f>
        <v>0</v>
      </c>
      <c r="D11" s="1">
        <f t="shared" si="0"/>
        <v>191563.93082438223</v>
      </c>
      <c r="E11" s="1">
        <f t="shared" si="0"/>
        <v>17577.746533837359</v>
      </c>
      <c r="G11" s="1">
        <f t="shared" si="0"/>
        <v>432894.60043084982</v>
      </c>
      <c r="H11" s="1">
        <f t="shared" si="0"/>
        <v>382505.3137591441</v>
      </c>
      <c r="I11" s="1">
        <f t="shared" si="0"/>
        <v>494022.41622360429</v>
      </c>
      <c r="J11" s="1">
        <f>-J9</f>
        <v>-3001147.29</v>
      </c>
      <c r="K11" s="1">
        <v>0</v>
      </c>
    </row>
    <row r="12" spans="1:11" x14ac:dyDescent="0.2">
      <c r="A12" t="s">
        <v>4</v>
      </c>
      <c r="B12" s="1">
        <f>+B9+B11</f>
        <v>12224924.482228182</v>
      </c>
      <c r="C12" s="1">
        <f t="shared" ref="C12:J12" si="1">+C9+C11</f>
        <v>0</v>
      </c>
      <c r="D12" s="1">
        <f t="shared" si="1"/>
        <v>1579577.0908243821</v>
      </c>
      <c r="E12" s="1">
        <f t="shared" si="1"/>
        <v>144940.67653383734</v>
      </c>
      <c r="G12" s="1">
        <f t="shared" si="1"/>
        <v>3569515.3604308497</v>
      </c>
      <c r="H12" s="1">
        <f t="shared" si="1"/>
        <v>3154020.8437591437</v>
      </c>
      <c r="I12" s="1">
        <f t="shared" si="1"/>
        <v>4073556.4762236043</v>
      </c>
      <c r="J12" s="1">
        <f t="shared" si="1"/>
        <v>0</v>
      </c>
      <c r="K12" s="1">
        <f>SUM(B12:J12)</f>
        <v>24746534.93</v>
      </c>
    </row>
    <row r="14" spans="1:11" x14ac:dyDescent="0.2">
      <c r="A14" t="s">
        <v>5</v>
      </c>
      <c r="B14" s="1">
        <f>B$9/($K$9-$J$9-$I$9)*-I14</f>
        <v>2408889.4789530528</v>
      </c>
      <c r="C14" s="1">
        <f t="shared" ref="C14:H14" si="2">C$9/($K$9-$J$9-$I$9)*-$I$14</f>
        <v>0</v>
      </c>
      <c r="D14" s="1">
        <f t="shared" si="2"/>
        <v>311251.54521924705</v>
      </c>
      <c r="E14" s="1">
        <f t="shared" si="2"/>
        <v>28560.182214807523</v>
      </c>
      <c r="G14" s="1">
        <f t="shared" si="2"/>
        <v>703363.69023818825</v>
      </c>
      <c r="H14" s="1">
        <f t="shared" si="2"/>
        <v>621491.57959830901</v>
      </c>
      <c r="I14" s="1">
        <f>-I12</f>
        <v>-4073556.4762236043</v>
      </c>
      <c r="K14" s="1">
        <v>0</v>
      </c>
    </row>
    <row r="15" spans="1:11" x14ac:dyDescent="0.2">
      <c r="A15" t="s">
        <v>4</v>
      </c>
      <c r="B15" s="1">
        <f>+B12+B14</f>
        <v>14633813.961181235</v>
      </c>
      <c r="C15" s="1">
        <f>+C12+C14</f>
        <v>0</v>
      </c>
      <c r="D15" s="1">
        <f>+D12+D14</f>
        <v>1890828.6360436291</v>
      </c>
      <c r="E15" s="1">
        <f>+E12+E14</f>
        <v>173500.85874864485</v>
      </c>
      <c r="G15" s="1">
        <f>+G12+G14</f>
        <v>4272879.0506690377</v>
      </c>
      <c r="H15" s="1">
        <f>+H12+H14</f>
        <v>3775512.4233574527</v>
      </c>
      <c r="I15" s="1">
        <f>+I12+I14</f>
        <v>0</v>
      </c>
      <c r="J15" s="1">
        <f>+J12+J14</f>
        <v>0</v>
      </c>
      <c r="K15" s="1">
        <f>SUM(B15:J15)</f>
        <v>24746534.93</v>
      </c>
    </row>
    <row r="17" spans="1:11" x14ac:dyDescent="0.2">
      <c r="A17" t="s">
        <v>6</v>
      </c>
      <c r="B17" s="1">
        <f>B$9/($K$9-$J$9-$I$9-$H$9)*-$H$17</f>
        <v>2634594.7792503238</v>
      </c>
      <c r="C17" s="1">
        <f>C$9/($K$9-$J$9-$I$9-$H$9)*-$H$17</f>
        <v>0</v>
      </c>
      <c r="D17" s="1">
        <f>D$9/($K$9-$J$9-$I$9-$H$9)*-$H$17</f>
        <v>340414.82734385168</v>
      </c>
      <c r="E17" s="1">
        <f>E$9/($K$9-$J$9-$I$9-$H$9)*-$H$17</f>
        <v>31236.180661253289</v>
      </c>
      <c r="G17" s="1">
        <f>G$9/($K$9-$J$9-$I$9-$H$9)*-$H$17</f>
        <v>769266.63610202423</v>
      </c>
      <c r="H17" s="1">
        <f>-H15</f>
        <v>-3775512.4233574527</v>
      </c>
      <c r="K17" s="1">
        <v>0</v>
      </c>
    </row>
    <row r="18" spans="1:11" x14ac:dyDescent="0.2">
      <c r="A18" t="s">
        <v>4</v>
      </c>
      <c r="B18" s="1">
        <f>+B15+B17</f>
        <v>17268408.740431558</v>
      </c>
      <c r="C18" s="1">
        <f>+C15+C17</f>
        <v>0</v>
      </c>
      <c r="D18" s="1">
        <f>+D15+D17</f>
        <v>2231243.4633874809</v>
      </c>
      <c r="E18" s="1">
        <f>+E15+E17</f>
        <v>204737.03940989813</v>
      </c>
      <c r="G18" s="1">
        <f>+G15+G17</f>
        <v>5042145.6867710622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24746534.93</v>
      </c>
    </row>
    <row r="20" spans="1:11" x14ac:dyDescent="0.2">
      <c r="A20" t="s">
        <v>7</v>
      </c>
      <c r="B20" s="1">
        <f>B$9/($K$9-$J$9-$I$9-$H$9-$G$9)*-$G$20</f>
        <v>4418803.9311031522</v>
      </c>
      <c r="C20" s="1">
        <f>C$9/($K$9-$J$9-$I$9-$H$9-$G$9)*-$G$20</f>
        <v>0</v>
      </c>
      <c r="D20" s="1">
        <f>D$9/($K$9-$J$9-$I$9-$H$9-$G$9)*-$G$20</f>
        <v>570951.70351048885</v>
      </c>
      <c r="E20" s="1">
        <f>E$9/($K$9-$J$9-$I$9-$H$9-$G$9)*-$G$20</f>
        <v>52390.052157421283</v>
      </c>
      <c r="G20" s="1">
        <f>-G18</f>
        <v>-5042145.6867710622</v>
      </c>
      <c r="K20" s="1">
        <f>SUM(B20:J20)</f>
        <v>0</v>
      </c>
    </row>
    <row r="22" spans="1:11" x14ac:dyDescent="0.2">
      <c r="A22" t="s">
        <v>8</v>
      </c>
      <c r="B22" s="1">
        <f>+B20+B18</f>
        <v>21687212.67153471</v>
      </c>
      <c r="C22" s="1">
        <f t="shared" ref="C22:K22" si="3">+C20+C18</f>
        <v>0</v>
      </c>
      <c r="D22" s="1">
        <f t="shared" si="3"/>
        <v>2802195.1668979698</v>
      </c>
      <c r="E22" s="1">
        <f t="shared" si="3"/>
        <v>257127.09156731941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24746534.93</v>
      </c>
    </row>
    <row r="27" spans="1:11" x14ac:dyDescent="0.2">
      <c r="A27" t="s">
        <v>9</v>
      </c>
      <c r="B27" s="1">
        <f>+B9</f>
        <v>10742341.199999999</v>
      </c>
    </row>
    <row r="28" spans="1:11" x14ac:dyDescent="0.2">
      <c r="A28" t="s">
        <v>10</v>
      </c>
      <c r="B28" s="1">
        <f>+B22-B27</f>
        <v>10944871.47153471</v>
      </c>
    </row>
    <row r="29" spans="1:11" x14ac:dyDescent="0.2">
      <c r="A29" s="35" t="s">
        <v>114</v>
      </c>
      <c r="B29" s="1">
        <v>2200</v>
      </c>
    </row>
    <row r="30" spans="1:11" x14ac:dyDescent="0.2">
      <c r="A30" t="s">
        <v>11</v>
      </c>
      <c r="B30" s="1">
        <f>+B28/B29</f>
        <v>4974.9415779703231</v>
      </c>
    </row>
  </sheetData>
  <phoneticPr fontId="0" type="noConversion"/>
  <pageMargins left="0.51" right="0.55000000000000004" top="1" bottom="0.56000000000000005" header="0.5" footer="0.5"/>
  <pageSetup scale="96" orientation="landscape" horizontalDpi="4294967294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570312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Table'!B41</f>
        <v>18735748.93</v>
      </c>
      <c r="C9" s="1">
        <f>'Master Expend Table'!C41</f>
        <v>0</v>
      </c>
      <c r="D9" s="1">
        <f>'Master Expend Table'!D41</f>
        <v>429860.69</v>
      </c>
      <c r="E9" s="1">
        <f>'Master Expend Table'!E41</f>
        <v>124173.66</v>
      </c>
      <c r="G9" s="1">
        <f>'Master Expend Table'!G41</f>
        <v>6554423.2599999998</v>
      </c>
      <c r="H9" s="1">
        <f>'Master Expend Table'!H41</f>
        <v>2926241.35</v>
      </c>
      <c r="I9" s="1">
        <f>'Master Expend Table'!I41</f>
        <v>4729952.47</v>
      </c>
      <c r="J9" s="1">
        <f>'Master Expend Table'!J41</f>
        <v>4475019.0999999996</v>
      </c>
      <c r="K9" s="1">
        <f>SUM(B9:J9)</f>
        <v>37975419.460000001</v>
      </c>
    </row>
    <row r="11" spans="1:11" x14ac:dyDescent="0.2">
      <c r="A11" t="s">
        <v>3</v>
      </c>
      <c r="B11" s="1">
        <f>(B9/($K9-$J9))*-$J$11</f>
        <v>2502741.2631958933</v>
      </c>
      <c r="C11" s="1">
        <f t="shared" ref="C11:I11" si="0">(C9/($K9-$J9))*-$J$11</f>
        <v>0</v>
      </c>
      <c r="D11" s="1">
        <f t="shared" si="0"/>
        <v>57421.248027412497</v>
      </c>
      <c r="E11" s="1">
        <f t="shared" si="0"/>
        <v>16587.249532706956</v>
      </c>
      <c r="G11" s="1">
        <f t="shared" si="0"/>
        <v>875546.82818078005</v>
      </c>
      <c r="H11" s="1">
        <f t="shared" si="0"/>
        <v>390890.43091244367</v>
      </c>
      <c r="I11" s="1">
        <f t="shared" si="0"/>
        <v>631832.08015076315</v>
      </c>
      <c r="J11" s="1">
        <f>-J9</f>
        <v>-4475019.0999999996</v>
      </c>
      <c r="K11" s="1">
        <v>0</v>
      </c>
    </row>
    <row r="12" spans="1:11" x14ac:dyDescent="0.2">
      <c r="A12" t="s">
        <v>4</v>
      </c>
      <c r="B12" s="1">
        <f>+B9+B11</f>
        <v>21238490.193195894</v>
      </c>
      <c r="C12" s="1">
        <f t="shared" ref="C12:J12" si="1">+C9+C11</f>
        <v>0</v>
      </c>
      <c r="D12" s="1">
        <f t="shared" si="1"/>
        <v>487281.93802741251</v>
      </c>
      <c r="E12" s="1">
        <f t="shared" si="1"/>
        <v>140760.90953270695</v>
      </c>
      <c r="G12" s="1">
        <f t="shared" si="1"/>
        <v>7429970.0881807795</v>
      </c>
      <c r="H12" s="1">
        <f t="shared" si="1"/>
        <v>3317131.780912444</v>
      </c>
      <c r="I12" s="1">
        <f t="shared" si="1"/>
        <v>5361784.5501507632</v>
      </c>
      <c r="J12" s="1">
        <f t="shared" si="1"/>
        <v>0</v>
      </c>
      <c r="K12" s="1">
        <f>SUM(B12:J12)</f>
        <v>37975419.460000001</v>
      </c>
    </row>
    <row r="14" spans="1:11" x14ac:dyDescent="0.2">
      <c r="A14" t="s">
        <v>5</v>
      </c>
      <c r="B14" s="1">
        <f>B$9/($K$9-$J$9-$I$9)*-I14</f>
        <v>3491674.8440087521</v>
      </c>
      <c r="C14" s="1">
        <f t="shared" ref="C14:H14" si="2">C$9/($K$9-$J$9-$I$9)*-$I$14</f>
        <v>0</v>
      </c>
      <c r="D14" s="1">
        <f t="shared" si="2"/>
        <v>80110.689106103688</v>
      </c>
      <c r="E14" s="1">
        <f t="shared" si="2"/>
        <v>23141.53795134657</v>
      </c>
      <c r="G14" s="1">
        <f t="shared" si="2"/>
        <v>1221510.5411282771</v>
      </c>
      <c r="H14" s="1">
        <f t="shared" si="2"/>
        <v>545346.93795628333</v>
      </c>
      <c r="I14" s="1">
        <f>-I12</f>
        <v>-5361784.5501507632</v>
      </c>
      <c r="K14" s="1">
        <v>0</v>
      </c>
    </row>
    <row r="15" spans="1:11" x14ac:dyDescent="0.2">
      <c r="A15" t="s">
        <v>4</v>
      </c>
      <c r="B15" s="1">
        <f>+B12+B14</f>
        <v>24730165.037204646</v>
      </c>
      <c r="C15" s="1">
        <f>+C12+C14</f>
        <v>0</v>
      </c>
      <c r="D15" s="1">
        <f>+D12+D14</f>
        <v>567392.62713351625</v>
      </c>
      <c r="E15" s="1">
        <f>+E12+E14</f>
        <v>163902.44748405353</v>
      </c>
      <c r="G15" s="1">
        <f>+G12+G14</f>
        <v>8651480.6293090563</v>
      </c>
      <c r="H15" s="1">
        <f>+H12+H14</f>
        <v>3862478.7188687273</v>
      </c>
      <c r="I15" s="1">
        <f>+I12+I14</f>
        <v>0</v>
      </c>
      <c r="J15" s="1">
        <f>+J12+J14</f>
        <v>0</v>
      </c>
      <c r="K15" s="1">
        <f>SUM(B15:J15)</f>
        <v>37975419.459999993</v>
      </c>
    </row>
    <row r="17" spans="1:11" x14ac:dyDescent="0.2">
      <c r="A17" t="s">
        <v>6</v>
      </c>
      <c r="B17" s="1">
        <f>B$9/($K$9-$J$9-$I$9-$H$9)*-$H$17</f>
        <v>2800102.6617779275</v>
      </c>
      <c r="C17" s="1">
        <f>C$9/($K$9-$J$9-$I$9-$H$9)*-$H$17</f>
        <v>0</v>
      </c>
      <c r="D17" s="1">
        <f>D$9/($K$9-$J$9-$I$9-$H$9)*-$H$17</f>
        <v>64243.712208129851</v>
      </c>
      <c r="E17" s="1">
        <f>E$9/($K$9-$J$9-$I$9-$H$9)*-$H$17</f>
        <v>18558.051625679393</v>
      </c>
      <c r="G17" s="1">
        <f>G$9/($K$9-$J$9-$I$9-$H$9)*-$H$17</f>
        <v>979574.29325699026</v>
      </c>
      <c r="H17" s="1">
        <f>-H15</f>
        <v>-3862478.7188687273</v>
      </c>
      <c r="K17" s="1">
        <v>0</v>
      </c>
    </row>
    <row r="18" spans="1:11" x14ac:dyDescent="0.2">
      <c r="A18" t="s">
        <v>4</v>
      </c>
      <c r="B18" s="1">
        <f>+B15+B17</f>
        <v>27530267.698982574</v>
      </c>
      <c r="C18" s="1">
        <f>+C15+C17</f>
        <v>0</v>
      </c>
      <c r="D18" s="1">
        <f>+D15+D17</f>
        <v>631636.33934164606</v>
      </c>
      <c r="E18" s="1">
        <f>+E15+E17</f>
        <v>182460.49910973292</v>
      </c>
      <c r="G18" s="1">
        <f>+G15+G17</f>
        <v>9631054.9225660469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37975419.460000001</v>
      </c>
    </row>
    <row r="20" spans="1:11" x14ac:dyDescent="0.2">
      <c r="A20" t="s">
        <v>7</v>
      </c>
      <c r="B20" s="1">
        <f>B$9/($K$9-$J$9-$I$9-$H$9-$G$9)*-$G$20</f>
        <v>9354435.1608826388</v>
      </c>
      <c r="C20" s="1">
        <f>C$9/($K$9-$J$9-$I$9-$H$9-$G$9)*-$G$20</f>
        <v>0</v>
      </c>
      <c r="D20" s="1">
        <f>D$9/($K$9-$J$9-$I$9-$H$9-$G$9)*-$G$20</f>
        <v>214622.00245321455</v>
      </c>
      <c r="E20" s="1">
        <f>E$9/($K$9-$J$9-$I$9-$H$9-$G$9)*-$G$20</f>
        <v>61997.759230192998</v>
      </c>
      <c r="G20" s="1">
        <f>-G18</f>
        <v>-9631054.9225660469</v>
      </c>
      <c r="K20" s="1">
        <f>SUM(B20:J20)</f>
        <v>0</v>
      </c>
    </row>
    <row r="22" spans="1:11" x14ac:dyDescent="0.2">
      <c r="A22" t="s">
        <v>8</v>
      </c>
      <c r="B22" s="1">
        <f>+B20+B18</f>
        <v>36884702.859865211</v>
      </c>
      <c r="C22" s="1">
        <f t="shared" ref="C22:K22" si="3">+C20+C18</f>
        <v>0</v>
      </c>
      <c r="D22" s="1">
        <f t="shared" si="3"/>
        <v>846258.34179486055</v>
      </c>
      <c r="E22" s="1">
        <f t="shared" si="3"/>
        <v>244458.2583399259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37975419.460000001</v>
      </c>
    </row>
    <row r="27" spans="1:11" x14ac:dyDescent="0.2">
      <c r="A27" t="s">
        <v>9</v>
      </c>
      <c r="B27" s="1">
        <f>+B9</f>
        <v>18735748.93</v>
      </c>
    </row>
    <row r="28" spans="1:11" x14ac:dyDescent="0.2">
      <c r="A28" t="s">
        <v>10</v>
      </c>
      <c r="B28" s="1">
        <f>+B22-B27</f>
        <v>18148953.929865211</v>
      </c>
    </row>
    <row r="29" spans="1:11" x14ac:dyDescent="0.2">
      <c r="A29" s="35" t="s">
        <v>114</v>
      </c>
      <c r="B29" s="1">
        <v>4296</v>
      </c>
    </row>
    <row r="30" spans="1:11" x14ac:dyDescent="0.2">
      <c r="A30" t="s">
        <v>11</v>
      </c>
      <c r="B30" s="1">
        <f>+B28/B29</f>
        <v>4224.6168365608037</v>
      </c>
    </row>
  </sheetData>
  <phoneticPr fontId="0" type="noConversion"/>
  <pageMargins left="0.63" right="0.55000000000000004" top="1" bottom="0.53" header="0.5" footer="0.5"/>
  <pageSetup scale="96" orientation="landscape" horizontalDpi="4294967294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2851562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89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Table'!B42</f>
        <v>19198673.32</v>
      </c>
      <c r="C9" s="1">
        <f>'Master Expend Table'!C42</f>
        <v>182814.57</v>
      </c>
      <c r="D9" s="1">
        <f>'Master Expend Table'!D42</f>
        <v>712726.91</v>
      </c>
      <c r="E9" s="1">
        <f>'Master Expend Table'!E42</f>
        <v>0</v>
      </c>
      <c r="G9" s="1">
        <f>'Master Expend Table'!G42</f>
        <v>3852053.64</v>
      </c>
      <c r="H9" s="1">
        <f>'Master Expend Table'!H42</f>
        <v>3811536.33</v>
      </c>
      <c r="I9" s="1">
        <f>'Master Expend Table'!I42</f>
        <v>5586887.1900000004</v>
      </c>
      <c r="J9" s="1">
        <f>'Master Expend Table'!J42</f>
        <v>4830390.5</v>
      </c>
      <c r="K9" s="1">
        <f>SUM(B9:J9)</f>
        <v>38175082.460000008</v>
      </c>
    </row>
    <row r="11" spans="1:11" x14ac:dyDescent="0.2">
      <c r="A11" t="s">
        <v>3</v>
      </c>
      <c r="B11" s="1">
        <f>(B9/($K9-$J9))*-$J$11</f>
        <v>2781164.9700881336</v>
      </c>
      <c r="C11" s="1">
        <f t="shared" ref="C11:I11" si="0">(C9/($K9-$J9))*-$J$11</f>
        <v>26482.948567913081</v>
      </c>
      <c r="D11" s="1">
        <f t="shared" si="0"/>
        <v>103247.29642991592</v>
      </c>
      <c r="E11" s="1">
        <f t="shared" si="0"/>
        <v>0</v>
      </c>
      <c r="G11" s="1">
        <f t="shared" si="0"/>
        <v>558017.54985372536</v>
      </c>
      <c r="H11" s="1">
        <f t="shared" si="0"/>
        <v>552148.11703532259</v>
      </c>
      <c r="I11" s="1">
        <f t="shared" si="0"/>
        <v>809329.6180249881</v>
      </c>
      <c r="J11" s="1">
        <f>-J9</f>
        <v>-4830390.5</v>
      </c>
      <c r="K11" s="1">
        <v>0</v>
      </c>
    </row>
    <row r="12" spans="1:11" x14ac:dyDescent="0.2">
      <c r="A12" t="s">
        <v>4</v>
      </c>
      <c r="B12" s="1">
        <f>+B9+B11</f>
        <v>21979838.290088132</v>
      </c>
      <c r="C12" s="1">
        <f t="shared" ref="C12:J12" si="1">+C9+C11</f>
        <v>209297.5185679131</v>
      </c>
      <c r="D12" s="1">
        <f t="shared" si="1"/>
        <v>815974.20642991597</v>
      </c>
      <c r="E12" s="1">
        <f t="shared" si="1"/>
        <v>0</v>
      </c>
      <c r="G12" s="1">
        <f t="shared" si="1"/>
        <v>4410071.189853726</v>
      </c>
      <c r="H12" s="1">
        <f t="shared" si="1"/>
        <v>4363684.4470353229</v>
      </c>
      <c r="I12" s="1">
        <f t="shared" si="1"/>
        <v>6396216.8080249885</v>
      </c>
      <c r="J12" s="1">
        <f t="shared" si="1"/>
        <v>0</v>
      </c>
      <c r="K12" s="1">
        <f>SUM(B12:J12)</f>
        <v>38175082.460000001</v>
      </c>
    </row>
    <row r="14" spans="1:11" x14ac:dyDescent="0.2">
      <c r="A14" t="s">
        <v>5</v>
      </c>
      <c r="B14" s="1">
        <f>B$9/($K$9-$J$9-$I$9)*-I14</f>
        <v>4423940.5096574165</v>
      </c>
      <c r="C14" s="1">
        <f t="shared" ref="C14:H14" si="2">C$9/($K$9-$J$9-$I$9)*-$I$14</f>
        <v>42125.868204449529</v>
      </c>
      <c r="D14" s="1">
        <f t="shared" si="2"/>
        <v>164233.29867211659</v>
      </c>
      <c r="E14" s="1">
        <f t="shared" si="2"/>
        <v>0</v>
      </c>
      <c r="G14" s="1">
        <f t="shared" si="2"/>
        <v>887626.7572935248</v>
      </c>
      <c r="H14" s="1">
        <f t="shared" si="2"/>
        <v>878290.3741974791</v>
      </c>
      <c r="I14" s="1">
        <f>-I12</f>
        <v>-6396216.8080249885</v>
      </c>
      <c r="K14" s="1">
        <v>0</v>
      </c>
    </row>
    <row r="15" spans="1:11" x14ac:dyDescent="0.2">
      <c r="A15" t="s">
        <v>4</v>
      </c>
      <c r="B15" s="1">
        <f>+B12+B14</f>
        <v>26403778.799745549</v>
      </c>
      <c r="C15" s="1">
        <f>+C12+C14</f>
        <v>251423.38677236263</v>
      </c>
      <c r="D15" s="1">
        <f>+D12+D14</f>
        <v>980207.50510203256</v>
      </c>
      <c r="E15" s="1">
        <f>+E12+E14</f>
        <v>0</v>
      </c>
      <c r="G15" s="1">
        <f>+G12+G14</f>
        <v>5297697.9471472511</v>
      </c>
      <c r="H15" s="1">
        <f>+H12+H14</f>
        <v>5241974.8212328022</v>
      </c>
      <c r="I15" s="1">
        <f>+I12+I14</f>
        <v>0</v>
      </c>
      <c r="J15" s="1">
        <f>+J12+J14</f>
        <v>0</v>
      </c>
      <c r="K15" s="1">
        <f>SUM(B15:J15)</f>
        <v>38175082.459999993</v>
      </c>
    </row>
    <row r="17" spans="1:11" x14ac:dyDescent="0.2">
      <c r="A17" t="s">
        <v>6</v>
      </c>
      <c r="B17" s="1">
        <f>B$9/($K$9-$J$9-$I$9-$H$9)*-$H$17</f>
        <v>4202699.1552640405</v>
      </c>
      <c r="C17" s="1">
        <f>C$9/($K$9-$J$9-$I$9-$H$9)*-$H$17</f>
        <v>40019.152683252112</v>
      </c>
      <c r="D17" s="1">
        <f>D$9/($K$9-$J$9-$I$9-$H$9)*-$H$17</f>
        <v>156019.98808274686</v>
      </c>
      <c r="E17" s="1">
        <f>E$9/($K$9-$J$9-$I$9-$H$9)*-$H$17</f>
        <v>0</v>
      </c>
      <c r="G17" s="1">
        <f>G$9/($K$9-$J$9-$I$9-$H$9)*-$H$17</f>
        <v>843236.52520276187</v>
      </c>
      <c r="H17" s="1">
        <f>-H15</f>
        <v>-5241974.8212328022</v>
      </c>
      <c r="K17" s="1">
        <v>0</v>
      </c>
    </row>
    <row r="18" spans="1:11" x14ac:dyDescent="0.2">
      <c r="A18" t="s">
        <v>4</v>
      </c>
      <c r="B18" s="1">
        <f>+B15+B17</f>
        <v>30606477.955009587</v>
      </c>
      <c r="C18" s="1">
        <f>+C15+C17</f>
        <v>291442.53945561475</v>
      </c>
      <c r="D18" s="1">
        <f>+D15+D17</f>
        <v>1136227.4931847793</v>
      </c>
      <c r="E18" s="1">
        <f>+E15+E17</f>
        <v>0</v>
      </c>
      <c r="G18" s="1">
        <f>+G15+G17</f>
        <v>6140934.4723500125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38175082.459999993</v>
      </c>
    </row>
    <row r="20" spans="1:11" x14ac:dyDescent="0.2">
      <c r="A20" t="s">
        <v>7</v>
      </c>
      <c r="B20" s="1">
        <f>B$9/($K$9-$J$9-$I$9-$H$9-$G$9)*-$G$20</f>
        <v>5867250.6483893283</v>
      </c>
      <c r="C20" s="1">
        <f>C$9/($K$9-$J$9-$I$9-$H$9-$G$9)*-$G$20</f>
        <v>55869.428396915726</v>
      </c>
      <c r="D20" s="1">
        <f>D$9/($K$9-$J$9-$I$9-$H$9-$G$9)*-$G$20</f>
        <v>217814.39556376715</v>
      </c>
      <c r="E20" s="1">
        <f>E$9/($K$9-$J$9-$I$9-$H$9-$G$9)*-$G$20</f>
        <v>0</v>
      </c>
      <c r="G20" s="1">
        <f>-G18</f>
        <v>-6140934.4723500125</v>
      </c>
      <c r="K20" s="1">
        <f>SUM(B20:J20)</f>
        <v>0</v>
      </c>
    </row>
    <row r="22" spans="1:11" x14ac:dyDescent="0.2">
      <c r="A22" t="s">
        <v>8</v>
      </c>
      <c r="B22" s="1">
        <f>+B20+B18</f>
        <v>36473728.603398919</v>
      </c>
      <c r="C22" s="1">
        <f t="shared" ref="C22:K22" si="3">+C20+C18</f>
        <v>347311.96785253048</v>
      </c>
      <c r="D22" s="1">
        <f t="shared" si="3"/>
        <v>1354041.8887485464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38175082.459999993</v>
      </c>
    </row>
    <row r="27" spans="1:11" x14ac:dyDescent="0.2">
      <c r="A27" t="s">
        <v>9</v>
      </c>
      <c r="B27" s="1">
        <f>+B9</f>
        <v>19198673.32</v>
      </c>
    </row>
    <row r="28" spans="1:11" x14ac:dyDescent="0.2">
      <c r="A28" t="s">
        <v>10</v>
      </c>
      <c r="B28" s="1">
        <f>+B22-B27</f>
        <v>17275055.283398919</v>
      </c>
    </row>
    <row r="29" spans="1:11" x14ac:dyDescent="0.2">
      <c r="A29" s="35" t="s">
        <v>114</v>
      </c>
      <c r="B29" s="1">
        <v>4825</v>
      </c>
    </row>
    <row r="30" spans="1:11" x14ac:dyDescent="0.2">
      <c r="A30" t="s">
        <v>11</v>
      </c>
      <c r="B30" s="1">
        <f>+B28/B29</f>
        <v>3580.3223385282731</v>
      </c>
    </row>
  </sheetData>
  <phoneticPr fontId="0" type="noConversion"/>
  <pageMargins left="0.56000000000000005" right="0.55000000000000004" top="1" bottom="0.53" header="0.5" footer="0.5"/>
  <pageSetup scale="97" orientation="landscape" horizontalDpi="4294967294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3.710937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Table'!B43</f>
        <v>13620446.289999999</v>
      </c>
      <c r="C9" s="1">
        <f>'Master Expend Table'!C43</f>
        <v>82975.7</v>
      </c>
      <c r="D9" s="1">
        <f>'Master Expend Table'!D43</f>
        <v>1801032.45</v>
      </c>
      <c r="E9" s="1">
        <f>'Master Expend Table'!E43</f>
        <v>0</v>
      </c>
      <c r="G9" s="1">
        <f>'Master Expend Table'!G43</f>
        <v>3303404.77</v>
      </c>
      <c r="H9" s="1">
        <f>'Master Expend Table'!H43</f>
        <v>2857232.15</v>
      </c>
      <c r="I9" s="1">
        <f>'Master Expend Table'!I43</f>
        <v>5137147.67</v>
      </c>
      <c r="J9" s="1">
        <f>'Master Expend Table'!J43</f>
        <v>2348022.37</v>
      </c>
      <c r="K9" s="1">
        <f>SUM(B9:J9)</f>
        <v>29150261.399999995</v>
      </c>
    </row>
    <row r="11" spans="1:11" x14ac:dyDescent="0.2">
      <c r="A11" t="s">
        <v>3</v>
      </c>
      <c r="B11" s="1">
        <f>(B9/($K9-$J9))*-$J$11</f>
        <v>1193225.407120157</v>
      </c>
      <c r="C11" s="1">
        <f t="shared" ref="C11:I11" si="0">(C9/($K9-$J9))*-$J$11</f>
        <v>7269.1240290908281</v>
      </c>
      <c r="D11" s="1">
        <f t="shared" si="0"/>
        <v>157780.26891568649</v>
      </c>
      <c r="E11" s="1">
        <f t="shared" si="0"/>
        <v>0</v>
      </c>
      <c r="G11" s="1">
        <f t="shared" si="0"/>
        <v>289396.28097648179</v>
      </c>
      <c r="H11" s="1">
        <f t="shared" si="0"/>
        <v>250309.12518069564</v>
      </c>
      <c r="I11" s="1">
        <f t="shared" si="0"/>
        <v>450042.16377788875</v>
      </c>
      <c r="J11" s="1">
        <f>-J9</f>
        <v>-2348022.37</v>
      </c>
      <c r="K11" s="1">
        <v>0</v>
      </c>
    </row>
    <row r="12" spans="1:11" x14ac:dyDescent="0.2">
      <c r="A12" t="s">
        <v>4</v>
      </c>
      <c r="B12" s="1">
        <f>+B9+B11</f>
        <v>14813671.697120156</v>
      </c>
      <c r="C12" s="1">
        <f t="shared" ref="C12:J12" si="1">+C9+C11</f>
        <v>90244.824029090829</v>
      </c>
      <c r="D12" s="1">
        <f t="shared" si="1"/>
        <v>1958812.7189156865</v>
      </c>
      <c r="E12" s="1">
        <f t="shared" si="1"/>
        <v>0</v>
      </c>
      <c r="G12" s="1">
        <f t="shared" si="1"/>
        <v>3592801.0509764818</v>
      </c>
      <c r="H12" s="1">
        <f t="shared" si="1"/>
        <v>3107541.2751806956</v>
      </c>
      <c r="I12" s="1">
        <f t="shared" si="1"/>
        <v>5587189.8337778887</v>
      </c>
      <c r="J12" s="1">
        <f t="shared" si="1"/>
        <v>0</v>
      </c>
      <c r="K12" s="1">
        <f>SUM(B12:J12)</f>
        <v>29150261.399999999</v>
      </c>
    </row>
    <row r="14" spans="1:11" x14ac:dyDescent="0.2">
      <c r="A14" t="s">
        <v>5</v>
      </c>
      <c r="B14" s="1">
        <f>B$9/($K$9-$J$9-$I$9)*-I14</f>
        <v>3512563.9573119152</v>
      </c>
      <c r="C14" s="1">
        <f t="shared" ref="C14:H14" si="2">C$9/($K$9-$J$9-$I$9)*-$I$14</f>
        <v>21398.524464408449</v>
      </c>
      <c r="D14" s="1">
        <f t="shared" si="2"/>
        <v>464466.54794739286</v>
      </c>
      <c r="E14" s="1">
        <f t="shared" si="2"/>
        <v>0</v>
      </c>
      <c r="G14" s="1">
        <f t="shared" si="2"/>
        <v>851911.91863025643</v>
      </c>
      <c r="H14" s="1">
        <f t="shared" si="2"/>
        <v>736848.88542391744</v>
      </c>
      <c r="I14" s="1">
        <f>-I12</f>
        <v>-5587189.8337778887</v>
      </c>
      <c r="K14" s="1">
        <v>0</v>
      </c>
    </row>
    <row r="15" spans="1:11" x14ac:dyDescent="0.2">
      <c r="A15" t="s">
        <v>4</v>
      </c>
      <c r="B15" s="1">
        <f>+B12+B14</f>
        <v>18326235.654432073</v>
      </c>
      <c r="C15" s="1">
        <f>+C12+C14</f>
        <v>111643.34849349927</v>
      </c>
      <c r="D15" s="1">
        <f>+D12+D14</f>
        <v>2423279.2668630793</v>
      </c>
      <c r="E15" s="1">
        <f>+E12+E14</f>
        <v>0</v>
      </c>
      <c r="G15" s="1">
        <f>+G12+G14</f>
        <v>4444712.9696067385</v>
      </c>
      <c r="H15" s="1">
        <f>+H12+H14</f>
        <v>3844390.1606046129</v>
      </c>
      <c r="I15" s="1">
        <f>+I12+I14</f>
        <v>0</v>
      </c>
      <c r="J15" s="1">
        <f>+J12+J14</f>
        <v>0</v>
      </c>
      <c r="K15" s="1">
        <f>SUM(B15:J15)</f>
        <v>29150261.399999999</v>
      </c>
    </row>
    <row r="17" spans="1:11" x14ac:dyDescent="0.2">
      <c r="A17" t="s">
        <v>6</v>
      </c>
      <c r="B17" s="1">
        <f>B$9/($K$9-$J$9-$I$9-$H$9)*-$H$17</f>
        <v>2784065.3800980691</v>
      </c>
      <c r="C17" s="1">
        <f>C$9/($K$9-$J$9-$I$9-$H$9)*-$H$17</f>
        <v>16960.514276907983</v>
      </c>
      <c r="D17" s="1">
        <f>D$9/($K$9-$J$9-$I$9-$H$9)*-$H$17</f>
        <v>368137.136310987</v>
      </c>
      <c r="E17" s="1">
        <f>E$9/($K$9-$J$9-$I$9-$H$9)*-$H$17</f>
        <v>0</v>
      </c>
      <c r="G17" s="1">
        <f>G$9/($K$9-$J$9-$I$9-$H$9)*-$H$17</f>
        <v>675227.12991865003</v>
      </c>
      <c r="H17" s="1">
        <f>-H15</f>
        <v>-3844390.1606046129</v>
      </c>
      <c r="K17" s="1">
        <v>0</v>
      </c>
    </row>
    <row r="18" spans="1:11" x14ac:dyDescent="0.2">
      <c r="A18" t="s">
        <v>4</v>
      </c>
      <c r="B18" s="1">
        <f>+B15+B17</f>
        <v>21110301.03453014</v>
      </c>
      <c r="C18" s="1">
        <f>+C15+C17</f>
        <v>128603.86277040726</v>
      </c>
      <c r="D18" s="1">
        <f>+D15+D17</f>
        <v>2791416.4031740665</v>
      </c>
      <c r="E18" s="1">
        <f>+E15+E17</f>
        <v>0</v>
      </c>
      <c r="G18" s="1">
        <f>+G15+G17</f>
        <v>5119940.0995253883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29150261.400000002</v>
      </c>
    </row>
    <row r="20" spans="1:11" x14ac:dyDescent="0.2">
      <c r="A20" t="s">
        <v>7</v>
      </c>
      <c r="B20" s="1">
        <f>B$9/($K$9-$J$9-$I$9-$H$9-$G$9)*-$G$20</f>
        <v>4497795.7401513597</v>
      </c>
      <c r="C20" s="1">
        <f>C$9/($K$9-$J$9-$I$9-$H$9-$G$9)*-$G$20</f>
        <v>27400.552232277638</v>
      </c>
      <c r="D20" s="1">
        <f>D$9/($K$9-$J$9-$I$9-$H$9-$G$9)*-$G$20</f>
        <v>594743.80714175315</v>
      </c>
      <c r="E20" s="1">
        <f>E$9/($K$9-$J$9-$I$9-$H$9-$G$9)*-$G$20</f>
        <v>0</v>
      </c>
      <c r="G20" s="1">
        <f>-G18</f>
        <v>-5119940.0995253883</v>
      </c>
      <c r="K20" s="1">
        <f>SUM(B20:J20)</f>
        <v>0</v>
      </c>
    </row>
    <row r="22" spans="1:11" x14ac:dyDescent="0.2">
      <c r="A22" t="s">
        <v>8</v>
      </c>
      <c r="B22" s="1">
        <f>+B20+B18</f>
        <v>25608096.774681501</v>
      </c>
      <c r="C22" s="1">
        <f t="shared" ref="C22:K22" si="3">+C20+C18</f>
        <v>156004.41500268489</v>
      </c>
      <c r="D22" s="1">
        <f t="shared" si="3"/>
        <v>3386160.2103158198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29150261.400000002</v>
      </c>
    </row>
    <row r="27" spans="1:11" x14ac:dyDescent="0.2">
      <c r="A27" t="s">
        <v>9</v>
      </c>
      <c r="B27" s="1">
        <f>+B9</f>
        <v>13620446.289999999</v>
      </c>
    </row>
    <row r="28" spans="1:11" x14ac:dyDescent="0.2">
      <c r="A28" t="s">
        <v>10</v>
      </c>
      <c r="B28" s="1">
        <f>+B22-B27</f>
        <v>11987650.484681502</v>
      </c>
    </row>
    <row r="29" spans="1:11" x14ac:dyDescent="0.2">
      <c r="A29" s="35" t="s">
        <v>114</v>
      </c>
      <c r="B29" s="1">
        <v>2590</v>
      </c>
    </row>
    <row r="30" spans="1:11" x14ac:dyDescent="0.2">
      <c r="A30" t="s">
        <v>11</v>
      </c>
      <c r="B30" s="1">
        <f>+B28/B29</f>
        <v>4628.4364805720088</v>
      </c>
    </row>
  </sheetData>
  <phoneticPr fontId="0" type="noConversion"/>
  <pageMargins left="0.61" right="0.55000000000000004" top="1" bottom="0.56000000000000005" header="0.5" footer="0.5"/>
  <pageSetup scale="97" orientation="landscape" horizontalDpi="4294967294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3.710937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88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Table'!B44</f>
        <v>15635962.140000001</v>
      </c>
      <c r="C9" s="1">
        <f>'Master Expend Table'!C44</f>
        <v>0</v>
      </c>
      <c r="D9" s="1">
        <f>'Master Expend Table'!D44</f>
        <v>476722.71</v>
      </c>
      <c r="E9" s="1">
        <f>'Master Expend Table'!E44</f>
        <v>2323206.1</v>
      </c>
      <c r="G9" s="1">
        <f>'Master Expend Table'!G44</f>
        <v>5165504.4800000004</v>
      </c>
      <c r="H9" s="1">
        <f>'Master Expend Table'!H44</f>
        <v>4467846.37</v>
      </c>
      <c r="I9" s="1">
        <f>'Master Expend Table'!I44</f>
        <v>5982298.9100000001</v>
      </c>
      <c r="J9" s="1">
        <f>'Master Expend Table'!J44</f>
        <v>4220797.67</v>
      </c>
      <c r="K9" s="1">
        <f>SUM(B9:J9)</f>
        <v>38272338.38000001</v>
      </c>
    </row>
    <row r="11" spans="1:11" x14ac:dyDescent="0.2">
      <c r="A11" t="s">
        <v>3</v>
      </c>
      <c r="B11" s="1">
        <f>(B9/($K9-$J9))*-$J$11</f>
        <v>1938127.6498111265</v>
      </c>
      <c r="C11" s="1">
        <f t="shared" ref="C11:I11" si="0">(C9/($K9-$J9))*-$J$11</f>
        <v>0</v>
      </c>
      <c r="D11" s="1">
        <f t="shared" si="0"/>
        <v>59091.308694093015</v>
      </c>
      <c r="E11" s="1">
        <f t="shared" si="0"/>
        <v>287968.84632389323</v>
      </c>
      <c r="G11" s="1">
        <f t="shared" si="0"/>
        <v>640280.84541724576</v>
      </c>
      <c r="H11" s="1">
        <f t="shared" si="0"/>
        <v>553803.88538119546</v>
      </c>
      <c r="I11" s="1">
        <f t="shared" si="0"/>
        <v>741525.13437244506</v>
      </c>
      <c r="J11" s="1">
        <f>-J9</f>
        <v>-4220797.67</v>
      </c>
      <c r="K11" s="1">
        <v>0</v>
      </c>
    </row>
    <row r="12" spans="1:11" x14ac:dyDescent="0.2">
      <c r="A12" t="s">
        <v>4</v>
      </c>
      <c r="B12" s="1">
        <f>+B9+B11</f>
        <v>17574089.789811127</v>
      </c>
      <c r="C12" s="1">
        <f t="shared" ref="C12:J12" si="1">+C9+C11</f>
        <v>0</v>
      </c>
      <c r="D12" s="1">
        <f t="shared" si="1"/>
        <v>535814.01869409299</v>
      </c>
      <c r="E12" s="1">
        <f t="shared" si="1"/>
        <v>2611174.9463238935</v>
      </c>
      <c r="G12" s="1">
        <f t="shared" si="1"/>
        <v>5805785.3254172467</v>
      </c>
      <c r="H12" s="1">
        <f t="shared" si="1"/>
        <v>5021650.2553811958</v>
      </c>
      <c r="I12" s="1">
        <f t="shared" si="1"/>
        <v>6723824.044372445</v>
      </c>
      <c r="J12" s="1">
        <f t="shared" si="1"/>
        <v>0</v>
      </c>
      <c r="K12" s="1">
        <f>SUM(B12:J12)</f>
        <v>38272338.380000003</v>
      </c>
    </row>
    <row r="14" spans="1:11" x14ac:dyDescent="0.2">
      <c r="A14" t="s">
        <v>5</v>
      </c>
      <c r="B14" s="1">
        <f>B$9/($K$9-$J$9-$I$9)*-I14</f>
        <v>3745504.0268964162</v>
      </c>
      <c r="C14" s="1">
        <f t="shared" ref="C14:H14" si="2">C$9/($K$9-$J$9-$I$9)*-$I$14</f>
        <v>0</v>
      </c>
      <c r="D14" s="1">
        <f t="shared" si="2"/>
        <v>114196.1597265656</v>
      </c>
      <c r="E14" s="1">
        <f t="shared" si="2"/>
        <v>556510.54440710729</v>
      </c>
      <c r="G14" s="1">
        <f t="shared" si="2"/>
        <v>1237366.633249694</v>
      </c>
      <c r="H14" s="1">
        <f t="shared" si="2"/>
        <v>1070246.6800926607</v>
      </c>
      <c r="I14" s="1">
        <f>-I12</f>
        <v>-6723824.044372445</v>
      </c>
      <c r="K14" s="1">
        <v>0</v>
      </c>
    </row>
    <row r="15" spans="1:11" x14ac:dyDescent="0.2">
      <c r="A15" t="s">
        <v>4</v>
      </c>
      <c r="B15" s="1">
        <f>+B12+B14</f>
        <v>21319593.816707544</v>
      </c>
      <c r="C15" s="1">
        <f>+C12+C14</f>
        <v>0</v>
      </c>
      <c r="D15" s="1">
        <f>+D12+D14</f>
        <v>650010.17842065857</v>
      </c>
      <c r="E15" s="1">
        <f>+E12+E14</f>
        <v>3167685.4907310009</v>
      </c>
      <c r="G15" s="1">
        <f>+G12+G14</f>
        <v>7043151.9586669412</v>
      </c>
      <c r="H15" s="1">
        <f>+H12+H14</f>
        <v>6091896.9354738565</v>
      </c>
      <c r="I15" s="1">
        <f>+I12+I14</f>
        <v>0</v>
      </c>
      <c r="J15" s="1">
        <f>+J12+J14</f>
        <v>0</v>
      </c>
      <c r="K15" s="1">
        <f>SUM(B15:J15)</f>
        <v>38272338.380000003</v>
      </c>
    </row>
    <row r="17" spans="1:11" x14ac:dyDescent="0.2">
      <c r="A17" t="s">
        <v>6</v>
      </c>
      <c r="B17" s="1">
        <f>B$9/($K$9-$J$9-$I$9-$H$9)*-$H$17</f>
        <v>4035891.4423667714</v>
      </c>
      <c r="C17" s="1">
        <f>C$9/($K$9-$J$9-$I$9-$H$9)*-$H$17</f>
        <v>0</v>
      </c>
      <c r="D17" s="1">
        <f>D$9/($K$9-$J$9-$I$9-$H$9)*-$H$17</f>
        <v>123049.74189908701</v>
      </c>
      <c r="E17" s="1">
        <f>E$9/($K$9-$J$9-$I$9-$H$9)*-$H$17</f>
        <v>599656.58229997999</v>
      </c>
      <c r="G17" s="1">
        <f>G$9/($K$9-$J$9-$I$9-$H$9)*-$H$17</f>
        <v>1333299.168908017</v>
      </c>
      <c r="H17" s="1">
        <f>-H15</f>
        <v>-6091896.9354738565</v>
      </c>
      <c r="K17" s="1">
        <v>0</v>
      </c>
    </row>
    <row r="18" spans="1:11" x14ac:dyDescent="0.2">
      <c r="A18" t="s">
        <v>4</v>
      </c>
      <c r="B18" s="1">
        <f>+B15+B17</f>
        <v>25355485.259074315</v>
      </c>
      <c r="C18" s="1">
        <f>+C15+C17</f>
        <v>0</v>
      </c>
      <c r="D18" s="1">
        <f>+D15+D17</f>
        <v>773059.92031974555</v>
      </c>
      <c r="E18" s="1">
        <f>+E15+E17</f>
        <v>3767342.0730309808</v>
      </c>
      <c r="G18" s="1">
        <f>+G15+G17</f>
        <v>8376451.1275749579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38272338.380000003</v>
      </c>
    </row>
    <row r="20" spans="1:11" x14ac:dyDescent="0.2">
      <c r="A20" t="s">
        <v>7</v>
      </c>
      <c r="B20" s="1">
        <f>B$9/($K$9-$J$9-$I$9-$H$9-$G$9)*-$G$20</f>
        <v>7104287.666570425</v>
      </c>
      <c r="C20" s="1">
        <f>C$9/($K$9-$J$9-$I$9-$H$9-$G$9)*-$G$20</f>
        <v>0</v>
      </c>
      <c r="D20" s="1">
        <f>D$9/($K$9-$J$9-$I$9-$H$9-$G$9)*-$G$20</f>
        <v>216601.65448744362</v>
      </c>
      <c r="E20" s="1">
        <f>E$9/($K$9-$J$9-$I$9-$H$9-$G$9)*-$G$20</f>
        <v>1055561.8065170869</v>
      </c>
      <c r="G20" s="1">
        <f>-G18</f>
        <v>-8376451.1275749579</v>
      </c>
      <c r="K20" s="1">
        <f>SUM(B20:J20)</f>
        <v>0</v>
      </c>
    </row>
    <row r="22" spans="1:11" x14ac:dyDescent="0.2">
      <c r="A22" t="s">
        <v>8</v>
      </c>
      <c r="B22" s="1">
        <f>+B20+B18</f>
        <v>32459772.92564474</v>
      </c>
      <c r="C22" s="1">
        <f t="shared" ref="C22:K22" si="3">+C20+C18</f>
        <v>0</v>
      </c>
      <c r="D22" s="1">
        <f t="shared" si="3"/>
        <v>989661.57480718917</v>
      </c>
      <c r="E22" s="1">
        <f t="shared" si="3"/>
        <v>4822903.8795480672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38272338.380000003</v>
      </c>
    </row>
    <row r="27" spans="1:11" x14ac:dyDescent="0.2">
      <c r="A27" t="s">
        <v>9</v>
      </c>
      <c r="B27" s="1">
        <f>+B9</f>
        <v>15635962.140000001</v>
      </c>
    </row>
    <row r="28" spans="1:11" x14ac:dyDescent="0.2">
      <c r="A28" t="s">
        <v>10</v>
      </c>
      <c r="B28" s="1">
        <f>+B22-B27</f>
        <v>16823810.78564474</v>
      </c>
    </row>
    <row r="29" spans="1:11" x14ac:dyDescent="0.2">
      <c r="A29" s="35" t="s">
        <v>114</v>
      </c>
      <c r="B29" s="1">
        <v>3679</v>
      </c>
    </row>
    <row r="30" spans="1:11" x14ac:dyDescent="0.2">
      <c r="A30" t="s">
        <v>11</v>
      </c>
      <c r="B30" s="1">
        <f>+B28/B29</f>
        <v>4572.9303576093344</v>
      </c>
    </row>
  </sheetData>
  <phoneticPr fontId="0" type="noConversion"/>
  <pageMargins left="0.64" right="0.55000000000000004" top="1" bottom="0.51" header="0.5" footer="0.5"/>
  <pageSetup scale="96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B29" sqref="B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9.28515625" style="1" customWidth="1"/>
    <col min="6" max="6" width="2.7109375" style="3" customWidth="1"/>
    <col min="7" max="7" width="11.28515625" style="1" bestFit="1" customWidth="1"/>
    <col min="8" max="8" width="10.28515625" style="1" customWidth="1"/>
    <col min="9" max="9" width="11.28515625" style="1" bestFit="1" customWidth="1"/>
    <col min="10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110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Table'!B7</f>
        <v>26628481.939999998</v>
      </c>
      <c r="C9" s="1">
        <f>'Master Expend Table'!C7</f>
        <v>41120.120000000003</v>
      </c>
      <c r="D9" s="1">
        <f>'Master Expend Table'!D7</f>
        <v>2393799.39</v>
      </c>
      <c r="E9" s="1">
        <f>'Master Expend Table'!E7</f>
        <v>24774.69</v>
      </c>
      <c r="G9" s="1">
        <f>'Master Expend Table'!G7</f>
        <v>7630737.2200000007</v>
      </c>
      <c r="H9" s="1">
        <f>'Master Expend Table'!H7</f>
        <v>5477829.5999999996</v>
      </c>
      <c r="I9" s="1">
        <f>'Master Expend Table'!I7</f>
        <v>9097230.6400000006</v>
      </c>
      <c r="J9" s="1">
        <f>'Master Expend Table'!J7</f>
        <v>5793574.5499999998</v>
      </c>
      <c r="K9" s="1">
        <f>SUM(B9:J9)</f>
        <v>57087548.149999999</v>
      </c>
    </row>
    <row r="11" spans="1:11" x14ac:dyDescent="0.2">
      <c r="A11" t="s">
        <v>3</v>
      </c>
      <c r="B11" s="1">
        <f>(B9/($K9-$J9))*-$J$11</f>
        <v>3007645.62472342</v>
      </c>
      <c r="C11" s="1">
        <f t="shared" ref="C11:I11" si="0">(C9/($K9-$J9))*-$J$11</f>
        <v>4644.4536074106372</v>
      </c>
      <c r="D11" s="1">
        <f t="shared" si="0"/>
        <v>270375.91846285667</v>
      </c>
      <c r="E11" s="1">
        <f t="shared" si="0"/>
        <v>2798.2627079634062</v>
      </c>
      <c r="G11" s="1">
        <f t="shared" si="0"/>
        <v>861879.90231136524</v>
      </c>
      <c r="H11" s="1">
        <f t="shared" si="0"/>
        <v>618712.33465517045</v>
      </c>
      <c r="I11" s="1">
        <f t="shared" si="0"/>
        <v>1027518.0535318131</v>
      </c>
      <c r="J11" s="1">
        <f>-J9</f>
        <v>-5793574.5499999998</v>
      </c>
      <c r="K11" s="1">
        <v>0</v>
      </c>
    </row>
    <row r="12" spans="1:11" x14ac:dyDescent="0.2">
      <c r="A12" t="s">
        <v>4</v>
      </c>
      <c r="B12" s="1">
        <f>+B9+B11</f>
        <v>29636127.564723417</v>
      </c>
      <c r="C12" s="1">
        <f t="shared" ref="C12:J12" si="1">+C9+C11</f>
        <v>45764.573607410639</v>
      </c>
      <c r="D12" s="1">
        <f t="shared" si="1"/>
        <v>2664175.3084628568</v>
      </c>
      <c r="E12" s="1">
        <f t="shared" si="1"/>
        <v>27572.952707963406</v>
      </c>
      <c r="G12" s="1">
        <f t="shared" si="1"/>
        <v>8492617.1223113667</v>
      </c>
      <c r="H12" s="1">
        <f t="shared" si="1"/>
        <v>6096541.93465517</v>
      </c>
      <c r="I12" s="1">
        <f t="shared" si="1"/>
        <v>10124748.693531813</v>
      </c>
      <c r="J12" s="1">
        <f t="shared" si="1"/>
        <v>0</v>
      </c>
      <c r="K12" s="1">
        <f>SUM(B12:J12)</f>
        <v>57087548.149999999</v>
      </c>
    </row>
    <row r="14" spans="1:11" x14ac:dyDescent="0.2">
      <c r="A14" t="s">
        <v>5</v>
      </c>
      <c r="B14" s="1">
        <f>B$9/($K$9-$J$9-$I$9)*-I14</f>
        <v>6389277.2005726025</v>
      </c>
      <c r="C14" s="1">
        <f t="shared" ref="C14:H14" si="2">C$9/($K$9-$J$9-$I$9)*-$I$14</f>
        <v>9866.4221938297069</v>
      </c>
      <c r="D14" s="1">
        <f t="shared" si="2"/>
        <v>574371.75351317099</v>
      </c>
      <c r="E14" s="1">
        <f t="shared" si="2"/>
        <v>5944.4756304517305</v>
      </c>
      <c r="G14" s="1">
        <f t="shared" si="2"/>
        <v>1830930.334412701</v>
      </c>
      <c r="H14" s="1">
        <f t="shared" si="2"/>
        <v>1314358.507209057</v>
      </c>
      <c r="I14" s="1">
        <f>-I12</f>
        <v>-10124748.693531813</v>
      </c>
      <c r="K14" s="1">
        <v>0</v>
      </c>
    </row>
    <row r="15" spans="1:11" x14ac:dyDescent="0.2">
      <c r="A15" t="s">
        <v>4</v>
      </c>
      <c r="B15" s="1">
        <f>+B12+B14</f>
        <v>36025404.76529602</v>
      </c>
      <c r="C15" s="1">
        <f>+C12+C14</f>
        <v>55630.995801240344</v>
      </c>
      <c r="D15" s="1">
        <f>+D12+D14</f>
        <v>3238547.0619760277</v>
      </c>
      <c r="E15" s="1">
        <f>+E12+E14</f>
        <v>33517.428338415135</v>
      </c>
      <c r="G15" s="1">
        <f>+G12+G14</f>
        <v>10323547.456724068</v>
      </c>
      <c r="H15" s="1">
        <f>+H12+H14</f>
        <v>7410900.4418642269</v>
      </c>
      <c r="I15" s="1">
        <f>+I12+I14</f>
        <v>0</v>
      </c>
      <c r="J15" s="1">
        <f>+J12+J14</f>
        <v>0</v>
      </c>
      <c r="K15" s="1">
        <f>SUM(B15:J15)</f>
        <v>57087548.150000006</v>
      </c>
    </row>
    <row r="17" spans="1:11" x14ac:dyDescent="0.2">
      <c r="A17" t="s">
        <v>6</v>
      </c>
      <c r="B17" s="1">
        <f>B$9/($K$9-$J$9-$I$9-$H$9)*-$H$17</f>
        <v>5374370.0593900029</v>
      </c>
      <c r="C17" s="1">
        <f>C$9/($K$9-$J$9-$I$9-$H$9)*-$H$17</f>
        <v>8299.1866477584153</v>
      </c>
      <c r="D17" s="1">
        <f>D$9/($K$9-$J$9-$I$9-$H$9)*-$H$17</f>
        <v>483135.45619274065</v>
      </c>
      <c r="E17" s="1">
        <f>E$9/($K$9-$J$9-$I$9-$H$9)*-$H$17</f>
        <v>5000.2231620519078</v>
      </c>
      <c r="G17" s="1">
        <f>G$9/($K$9-$J$9-$I$9-$H$9)*-$H$17</f>
        <v>1540095.5164716728</v>
      </c>
      <c r="H17" s="1">
        <f>-H15</f>
        <v>-7410900.4418642269</v>
      </c>
      <c r="K17" s="1">
        <v>0</v>
      </c>
    </row>
    <row r="18" spans="1:11" x14ac:dyDescent="0.2">
      <c r="A18" t="s">
        <v>4</v>
      </c>
      <c r="B18" s="1">
        <f>+B15+B17</f>
        <v>41399774.824686021</v>
      </c>
      <c r="C18" s="1">
        <f>+C15+C17</f>
        <v>63930.182448998763</v>
      </c>
      <c r="D18" s="1">
        <f>+D15+D17</f>
        <v>3721682.5181687684</v>
      </c>
      <c r="E18" s="1">
        <f>+E15+E17</f>
        <v>38517.651500467044</v>
      </c>
      <c r="G18" s="1">
        <f>+G15+G17</f>
        <v>11863642.973195741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57087548.149999991</v>
      </c>
    </row>
    <row r="20" spans="1:11" x14ac:dyDescent="0.2">
      <c r="A20" t="s">
        <v>7</v>
      </c>
      <c r="B20" s="1">
        <f>B$9/($K$9-$J$9-$I$9-$H$9-$G$9)*-$G$20</f>
        <v>10860454.128642755</v>
      </c>
      <c r="C20" s="1">
        <f>C$9/($K$9-$J$9-$I$9-$H$9-$G$9)*-$G$20</f>
        <v>16770.883823964828</v>
      </c>
      <c r="D20" s="1">
        <f>D$9/($K$9-$J$9-$I$9-$H$9-$G$9)*-$G$20</f>
        <v>976313.5775763269</v>
      </c>
      <c r="E20" s="1">
        <f>E$9/($K$9-$J$9-$I$9-$H$9-$G$9)*-$G$20</f>
        <v>10104.383152693697</v>
      </c>
      <c r="G20" s="1">
        <f>-G18</f>
        <v>-11863642.973195741</v>
      </c>
      <c r="K20" s="1">
        <f>SUM(B20:J20)</f>
        <v>0</v>
      </c>
    </row>
    <row r="22" spans="1:11" x14ac:dyDescent="0.2">
      <c r="A22" t="s">
        <v>8</v>
      </c>
      <c r="B22" s="1">
        <f>+B20+B18</f>
        <v>52260228.953328773</v>
      </c>
      <c r="C22" s="1">
        <f t="shared" ref="C22:K22" si="3">+C20+C18</f>
        <v>80701.066272963595</v>
      </c>
      <c r="D22" s="1">
        <f t="shared" si="3"/>
        <v>4697996.0957450951</v>
      </c>
      <c r="E22" s="1">
        <f t="shared" si="3"/>
        <v>48622.034653160743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57087548.149999991</v>
      </c>
    </row>
    <row r="27" spans="1:11" x14ac:dyDescent="0.2">
      <c r="A27" t="s">
        <v>9</v>
      </c>
      <c r="B27" s="1">
        <f>+B9</f>
        <v>26628481.939999998</v>
      </c>
    </row>
    <row r="28" spans="1:11" x14ac:dyDescent="0.2">
      <c r="A28" t="s">
        <v>10</v>
      </c>
      <c r="B28" s="1">
        <f>+B22-B27</f>
        <v>25631747.013328776</v>
      </c>
    </row>
    <row r="29" spans="1:11" x14ac:dyDescent="0.2">
      <c r="A29" s="35" t="s">
        <v>114</v>
      </c>
      <c r="B29" s="1">
        <f>'ANOKARAM CC'!B29+'ANOKA TC'!B29</f>
        <v>7214</v>
      </c>
    </row>
    <row r="30" spans="1:11" x14ac:dyDescent="0.2">
      <c r="A30" t="s">
        <v>11</v>
      </c>
      <c r="B30" s="1">
        <f>+B28/B29</f>
        <v>3553.0561426848872</v>
      </c>
    </row>
  </sheetData>
  <pageMargins left="0.7" right="0.7" top="0.75" bottom="0.75" header="0.3" footer="0.3"/>
  <pageSetup scale="98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30"/>
  <sheetViews>
    <sheetView topLeftCell="A7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8" width="12.140625" style="1" customWidth="1"/>
    <col min="9" max="10" width="11" style="1" customWidth="1"/>
    <col min="11" max="11" width="14.4257812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40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Table'!B45</f>
        <v>73527236.269999996</v>
      </c>
      <c r="C9" s="1">
        <f>'Master Expend Table'!C45</f>
        <v>926648.95</v>
      </c>
      <c r="D9" s="1">
        <f>'Master Expend Table'!D45</f>
        <v>4583851.62</v>
      </c>
      <c r="E9" s="1">
        <f>'Master Expend Table'!E45</f>
        <v>4595101.93</v>
      </c>
      <c r="G9" s="1">
        <f>'Master Expend Table'!G45</f>
        <v>21992088.940000001</v>
      </c>
      <c r="H9" s="1">
        <f>'Master Expend Table'!H45</f>
        <v>11036832.92</v>
      </c>
      <c r="I9" s="1">
        <f>'Master Expend Table'!I45</f>
        <v>23325804.109999999</v>
      </c>
      <c r="J9" s="1">
        <f>'Master Expend Table'!J45</f>
        <v>16502988.52</v>
      </c>
      <c r="K9" s="1">
        <f>SUM(B9:J9)</f>
        <v>156490553.26000002</v>
      </c>
    </row>
    <row r="11" spans="1:11" x14ac:dyDescent="0.2">
      <c r="A11" t="s">
        <v>3</v>
      </c>
      <c r="B11" s="1">
        <f>(B9/($K9-$J9))*-$J$11</f>
        <v>8668049.4679997489</v>
      </c>
      <c r="C11" s="1">
        <f t="shared" ref="C11:I11" si="0">(C9/($K9-$J9))*-$J$11</f>
        <v>109241.68166167394</v>
      </c>
      <c r="D11" s="1">
        <f t="shared" si="0"/>
        <v>540385.50354628731</v>
      </c>
      <c r="E11" s="1">
        <f t="shared" si="0"/>
        <v>541711.79089989094</v>
      </c>
      <c r="G11" s="1">
        <f t="shared" si="0"/>
        <v>2592624.5090535101</v>
      </c>
      <c r="H11" s="1">
        <f t="shared" si="0"/>
        <v>1301120.7625063658</v>
      </c>
      <c r="I11" s="1">
        <f t="shared" si="0"/>
        <v>2749854.8043325208</v>
      </c>
      <c r="J11" s="1">
        <f>-J9</f>
        <v>-16502988.52</v>
      </c>
      <c r="K11" s="1">
        <v>0</v>
      </c>
    </row>
    <row r="12" spans="1:11" x14ac:dyDescent="0.2">
      <c r="A12" t="s">
        <v>4</v>
      </c>
      <c r="B12" s="1">
        <f>+B9+B11</f>
        <v>82195285.737999737</v>
      </c>
      <c r="C12" s="1">
        <f t="shared" ref="C12:J12" si="1">+C9+C11</f>
        <v>1035890.6316616739</v>
      </c>
      <c r="D12" s="1">
        <f t="shared" si="1"/>
        <v>5124237.1235462874</v>
      </c>
      <c r="E12" s="1">
        <f t="shared" si="1"/>
        <v>5136813.7208998911</v>
      </c>
      <c r="G12" s="1">
        <f t="shared" si="1"/>
        <v>24584713.449053511</v>
      </c>
      <c r="H12" s="1">
        <f t="shared" si="1"/>
        <v>12337953.682506366</v>
      </c>
      <c r="I12" s="1">
        <f t="shared" si="1"/>
        <v>26075658.91433252</v>
      </c>
      <c r="J12" s="1">
        <f t="shared" si="1"/>
        <v>0</v>
      </c>
      <c r="K12" s="1">
        <f>SUM(B12:J12)</f>
        <v>156490553.25999999</v>
      </c>
    </row>
    <row r="14" spans="1:11" x14ac:dyDescent="0.2">
      <c r="A14" t="s">
        <v>5</v>
      </c>
      <c r="B14" s="1">
        <f>B$9/($K$9-$J$9-$I$9)*-I14</f>
        <v>16434443.673199847</v>
      </c>
      <c r="C14" s="1">
        <f t="shared" ref="C14:H14" si="2">C$9/($K$9-$J$9-$I$9)*-$I$14</f>
        <v>207119.98364364446</v>
      </c>
      <c r="D14" s="1">
        <f t="shared" si="2"/>
        <v>1024559.8104430952</v>
      </c>
      <c r="E14" s="1">
        <f t="shared" si="2"/>
        <v>1027074.4240118969</v>
      </c>
      <c r="G14" s="1">
        <f t="shared" si="2"/>
        <v>4915562.7938092146</v>
      </c>
      <c r="H14" s="1">
        <f t="shared" si="2"/>
        <v>2466898.2292248178</v>
      </c>
      <c r="I14" s="1">
        <f>-I12</f>
        <v>-26075658.91433252</v>
      </c>
      <c r="K14" s="1">
        <v>0</v>
      </c>
    </row>
    <row r="15" spans="1:11" x14ac:dyDescent="0.2">
      <c r="A15" t="s">
        <v>4</v>
      </c>
      <c r="B15" s="1">
        <f>+B12+B14</f>
        <v>98629729.411199585</v>
      </c>
      <c r="C15" s="1">
        <f>+C12+C14</f>
        <v>1243010.6153053183</v>
      </c>
      <c r="D15" s="1">
        <f>+D12+D14</f>
        <v>6148796.9339893823</v>
      </c>
      <c r="E15" s="1">
        <f>+E12+E14</f>
        <v>6163888.1449117884</v>
      </c>
      <c r="G15" s="1">
        <f>+G12+G14</f>
        <v>29500276.242862724</v>
      </c>
      <c r="H15" s="1">
        <f>+H12+H14</f>
        <v>14804851.911731184</v>
      </c>
      <c r="I15" s="1">
        <f>+I12+I14</f>
        <v>0</v>
      </c>
      <c r="J15" s="1">
        <f>+J12+J14</f>
        <v>0</v>
      </c>
      <c r="K15" s="1">
        <f>SUM(B15:J15)</f>
        <v>156490553.25999999</v>
      </c>
    </row>
    <row r="17" spans="1:11" x14ac:dyDescent="0.2">
      <c r="A17" t="s">
        <v>6</v>
      </c>
      <c r="B17" s="1">
        <f>B$9/($K$9-$J$9-$I$9-$H$9)*-$H$17</f>
        <v>10305899.071902141</v>
      </c>
      <c r="C17" s="1">
        <f>C$9/($K$9-$J$9-$I$9-$H$9)*-$H$17</f>
        <v>129883.17034949659</v>
      </c>
      <c r="D17" s="1">
        <f>D$9/($K$9-$J$9-$I$9-$H$9)*-$H$17</f>
        <v>642492.69458221039</v>
      </c>
      <c r="E17" s="1">
        <f>E$9/($K$9-$J$9-$I$9-$H$9)*-$H$17</f>
        <v>644069.58724497608</v>
      </c>
      <c r="G17" s="1">
        <f>G$9/($K$9-$J$9-$I$9-$H$9)*-$H$17</f>
        <v>3082507.3876523576</v>
      </c>
      <c r="H17" s="1">
        <f>-H15</f>
        <v>-14804851.911731184</v>
      </c>
      <c r="K17" s="1">
        <v>0</v>
      </c>
    </row>
    <row r="18" spans="1:11" x14ac:dyDescent="0.2">
      <c r="A18" t="s">
        <v>4</v>
      </c>
      <c r="B18" s="1">
        <f>+B15+B17</f>
        <v>108935628.48310173</v>
      </c>
      <c r="C18" s="1">
        <f>+C15+C17</f>
        <v>1372893.7856548149</v>
      </c>
      <c r="D18" s="1">
        <f>+D15+D17</f>
        <v>6791289.6285715923</v>
      </c>
      <c r="E18" s="1">
        <f>+E15+E17</f>
        <v>6807957.7321567647</v>
      </c>
      <c r="G18" s="1">
        <f>+G15+G17</f>
        <v>32582783.63051508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156490553.25999999</v>
      </c>
    </row>
    <row r="20" spans="1:11" x14ac:dyDescent="0.2">
      <c r="A20" t="s">
        <v>7</v>
      </c>
      <c r="B20" s="1">
        <f>B$9/($K$9-$J$9-$I$9-$H$9-$G$9)*-$G$20</f>
        <v>28645709.814104047</v>
      </c>
      <c r="C20" s="1">
        <f>C$9/($K$9-$J$9-$I$9-$H$9-$G$9)*-$G$20</f>
        <v>361016.11141441326</v>
      </c>
      <c r="D20" s="1">
        <f>D$9/($K$9-$J$9-$I$9-$H$9-$G$9)*-$G$20</f>
        <v>1785837.3304724069</v>
      </c>
      <c r="E20" s="1">
        <f>E$9/($K$9-$J$9-$I$9-$H$9-$G$9)*-$G$20</f>
        <v>1790220.3745242094</v>
      </c>
      <c r="G20" s="1">
        <f>-G18</f>
        <v>-32582783.63051508</v>
      </c>
      <c r="K20" s="1">
        <f>SUM(B20:J20)</f>
        <v>0</v>
      </c>
    </row>
    <row r="22" spans="1:11" x14ac:dyDescent="0.2">
      <c r="A22" t="s">
        <v>8</v>
      </c>
      <c r="B22" s="1">
        <f>+B20+B18</f>
        <v>137581338.29720578</v>
      </c>
      <c r="C22" s="1">
        <f t="shared" ref="C22:K22" si="3">+C20+C18</f>
        <v>1733909.8970692281</v>
      </c>
      <c r="D22" s="1">
        <f t="shared" si="3"/>
        <v>8577126.9590439983</v>
      </c>
      <c r="E22" s="1">
        <f t="shared" si="3"/>
        <v>8598178.1066809744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156490553.25999999</v>
      </c>
    </row>
    <row r="27" spans="1:11" x14ac:dyDescent="0.2">
      <c r="A27" t="s">
        <v>9</v>
      </c>
      <c r="B27" s="1">
        <f>+B9</f>
        <v>73527236.269999996</v>
      </c>
    </row>
    <row r="28" spans="1:11" x14ac:dyDescent="0.2">
      <c r="A28" t="s">
        <v>10</v>
      </c>
      <c r="B28" s="1">
        <f>+B22-B27</f>
        <v>64054102.02720578</v>
      </c>
    </row>
    <row r="29" spans="1:11" x14ac:dyDescent="0.2">
      <c r="A29" s="35" t="s">
        <v>114</v>
      </c>
      <c r="B29" s="1">
        <v>12381</v>
      </c>
    </row>
    <row r="30" spans="1:11" x14ac:dyDescent="0.2">
      <c r="A30" t="s">
        <v>11</v>
      </c>
      <c r="B30" s="1">
        <f>+B28/B29</f>
        <v>5173.5806499641212</v>
      </c>
    </row>
  </sheetData>
  <phoneticPr fontId="0" type="noConversion"/>
  <pageMargins left="0.59" right="0.55000000000000004" top="1" bottom="0.56000000000000005" header="0.5" footer="0.5"/>
  <pageSetup scale="96" orientation="landscape" horizontalDpi="4294967294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14062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Table'!B46</f>
        <v>16512532.18</v>
      </c>
      <c r="C9" s="1">
        <f>'Master Expend Table'!C46</f>
        <v>0</v>
      </c>
      <c r="D9" s="1">
        <f>'Master Expend Table'!D46</f>
        <v>1598261.07</v>
      </c>
      <c r="E9" s="1">
        <f>'Master Expend Table'!E46</f>
        <v>0</v>
      </c>
      <c r="G9" s="1">
        <f>'Master Expend Table'!G46</f>
        <v>3063091.27</v>
      </c>
      <c r="H9" s="1">
        <f>'Master Expend Table'!H46</f>
        <v>3009596.7</v>
      </c>
      <c r="I9" s="1">
        <f>'Master Expend Table'!I46</f>
        <v>3220997.74</v>
      </c>
      <c r="J9" s="1">
        <f>'Master Expend Table'!J46</f>
        <v>3140728.77</v>
      </c>
      <c r="K9" s="1">
        <f>SUM(B9:J9)</f>
        <v>30545207.73</v>
      </c>
    </row>
    <row r="11" spans="1:11" x14ac:dyDescent="0.2">
      <c r="A11" t="s">
        <v>3</v>
      </c>
      <c r="B11" s="1">
        <f>(B9/($K9-$J9))*-$J$11</f>
        <v>1892441.9237809447</v>
      </c>
      <c r="C11" s="1">
        <f t="shared" ref="C11:I11" si="0">(C9/($K9-$J9))*-$J$11</f>
        <v>0</v>
      </c>
      <c r="D11" s="1">
        <f t="shared" si="0"/>
        <v>183170.95288864357</v>
      </c>
      <c r="E11" s="1">
        <f t="shared" si="0"/>
        <v>0</v>
      </c>
      <c r="G11" s="1">
        <f t="shared" si="0"/>
        <v>351049.87366725097</v>
      </c>
      <c r="H11" s="1">
        <f t="shared" si="0"/>
        <v>344919.05339940311</v>
      </c>
      <c r="I11" s="1">
        <f t="shared" si="0"/>
        <v>369146.96626375779</v>
      </c>
      <c r="J11" s="1">
        <f>-J9</f>
        <v>-3140728.77</v>
      </c>
      <c r="K11" s="1">
        <v>0</v>
      </c>
    </row>
    <row r="12" spans="1:11" x14ac:dyDescent="0.2">
      <c r="A12" t="s">
        <v>4</v>
      </c>
      <c r="B12" s="1">
        <f>+B9+B11</f>
        <v>18404974.103780944</v>
      </c>
      <c r="C12" s="1">
        <f t="shared" ref="C12:J12" si="1">+C9+C11</f>
        <v>0</v>
      </c>
      <c r="D12" s="1">
        <f t="shared" si="1"/>
        <v>1781432.0228886437</v>
      </c>
      <c r="E12" s="1">
        <f t="shared" si="1"/>
        <v>0</v>
      </c>
      <c r="G12" s="1">
        <f t="shared" si="1"/>
        <v>3414141.1436672509</v>
      </c>
      <c r="H12" s="1">
        <f t="shared" si="1"/>
        <v>3354515.7533994033</v>
      </c>
      <c r="I12" s="1">
        <f t="shared" si="1"/>
        <v>3590144.7062637582</v>
      </c>
      <c r="J12" s="1">
        <f t="shared" si="1"/>
        <v>0</v>
      </c>
      <c r="K12" s="1">
        <f>SUM(B12:J12)</f>
        <v>30545207.729999997</v>
      </c>
    </row>
    <row r="14" spans="1:11" x14ac:dyDescent="0.2">
      <c r="A14" t="s">
        <v>5</v>
      </c>
      <c r="B14" s="1">
        <f>B$9/($K$9-$J$9-$I$9)*-I14</f>
        <v>2451358.4067462459</v>
      </c>
      <c r="C14" s="1">
        <f t="shared" ref="C14:H14" si="2">C$9/($K$9-$J$9-$I$9)*-$I$14</f>
        <v>0</v>
      </c>
      <c r="D14" s="1">
        <f t="shared" si="2"/>
        <v>237268.92201700775</v>
      </c>
      <c r="E14" s="1">
        <f t="shared" si="2"/>
        <v>0</v>
      </c>
      <c r="G14" s="1">
        <f t="shared" si="2"/>
        <v>454729.44146265608</v>
      </c>
      <c r="H14" s="1">
        <f t="shared" si="2"/>
        <v>446787.93603784876</v>
      </c>
      <c r="I14" s="1">
        <f>-I12</f>
        <v>-3590144.7062637582</v>
      </c>
      <c r="K14" s="1">
        <v>0</v>
      </c>
    </row>
    <row r="15" spans="1:11" x14ac:dyDescent="0.2">
      <c r="A15" t="s">
        <v>4</v>
      </c>
      <c r="B15" s="1">
        <f>+B12+B14</f>
        <v>20856332.51052719</v>
      </c>
      <c r="C15" s="1">
        <f>+C12+C14</f>
        <v>0</v>
      </c>
      <c r="D15" s="1">
        <f>+D12+D14</f>
        <v>2018700.9449056515</v>
      </c>
      <c r="E15" s="1">
        <f>+E12+E14</f>
        <v>0</v>
      </c>
      <c r="G15" s="1">
        <f>+G12+G14</f>
        <v>3868870.5851299069</v>
      </c>
      <c r="H15" s="1">
        <f>+H12+H14</f>
        <v>3801303.689437252</v>
      </c>
      <c r="I15" s="1">
        <f>+I12+I14</f>
        <v>0</v>
      </c>
      <c r="J15" s="1">
        <f>+J12+J14</f>
        <v>0</v>
      </c>
      <c r="K15" s="1">
        <f>SUM(B15:J15)</f>
        <v>30545207.729999997</v>
      </c>
    </row>
    <row r="17" spans="1:11" x14ac:dyDescent="0.2">
      <c r="A17" t="s">
        <v>6</v>
      </c>
      <c r="B17" s="1">
        <f>B$9/($K$9-$J$9-$I$9-$H$9)*-$H$17</f>
        <v>2964460.745901213</v>
      </c>
      <c r="C17" s="1">
        <f>C$9/($K$9-$J$9-$I$9-$H$9)*-$H$17</f>
        <v>0</v>
      </c>
      <c r="D17" s="1">
        <f>D$9/($K$9-$J$9-$I$9-$H$9)*-$H$17</f>
        <v>286932.50387458573</v>
      </c>
      <c r="E17" s="1">
        <f>E$9/($K$9-$J$9-$I$9-$H$9)*-$H$17</f>
        <v>0</v>
      </c>
      <c r="G17" s="1">
        <f>G$9/($K$9-$J$9-$I$9-$H$9)*-$H$17</f>
        <v>549910.43966145325</v>
      </c>
      <c r="H17" s="1">
        <f>-H15</f>
        <v>-3801303.689437252</v>
      </c>
      <c r="K17" s="1">
        <v>0</v>
      </c>
    </row>
    <row r="18" spans="1:11" x14ac:dyDescent="0.2">
      <c r="A18" t="s">
        <v>4</v>
      </c>
      <c r="B18" s="1">
        <f>+B15+B17</f>
        <v>23820793.256428402</v>
      </c>
      <c r="C18" s="1">
        <f>+C15+C17</f>
        <v>0</v>
      </c>
      <c r="D18" s="1">
        <f>+D15+D17</f>
        <v>2305633.4487802372</v>
      </c>
      <c r="E18" s="1">
        <f>+E15+E17</f>
        <v>0</v>
      </c>
      <c r="G18" s="1">
        <f>+G15+G17</f>
        <v>4418781.0247913599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30545207.73</v>
      </c>
    </row>
    <row r="20" spans="1:11" x14ac:dyDescent="0.2">
      <c r="A20" t="s">
        <v>7</v>
      </c>
      <c r="B20" s="1">
        <f>B$9/($K$9-$J$9-$I$9-$H$9-$G$9)*-$G$20</f>
        <v>4028827.6090966198</v>
      </c>
      <c r="C20" s="1">
        <f>C$9/($K$9-$J$9-$I$9-$H$9-$G$9)*-$G$20</f>
        <v>0</v>
      </c>
      <c r="D20" s="1">
        <f>D$9/($K$9-$J$9-$I$9-$H$9-$G$9)*-$G$20</f>
        <v>389953.41569473967</v>
      </c>
      <c r="E20" s="1">
        <f>E$9/($K$9-$J$9-$I$9-$H$9-$G$9)*-$G$20</f>
        <v>0</v>
      </c>
      <c r="G20" s="1">
        <f>-G18</f>
        <v>-4418781.0247913599</v>
      </c>
      <c r="K20" s="1">
        <f>SUM(B20:J20)</f>
        <v>0</v>
      </c>
    </row>
    <row r="22" spans="1:11" x14ac:dyDescent="0.2">
      <c r="A22" t="s">
        <v>8</v>
      </c>
      <c r="B22" s="1">
        <f>+B20+B18</f>
        <v>27849620.865525022</v>
      </c>
      <c r="C22" s="1">
        <f t="shared" ref="C22:K22" si="3">+C20+C18</f>
        <v>0</v>
      </c>
      <c r="D22" s="1">
        <f t="shared" si="3"/>
        <v>2695586.8644749769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30545207.73</v>
      </c>
    </row>
    <row r="27" spans="1:11" x14ac:dyDescent="0.2">
      <c r="A27" t="s">
        <v>9</v>
      </c>
      <c r="B27" s="1">
        <f>+B9</f>
        <v>16512532.18</v>
      </c>
    </row>
    <row r="28" spans="1:11" x14ac:dyDescent="0.2">
      <c r="A28" t="s">
        <v>10</v>
      </c>
      <c r="B28" s="1">
        <f>+B22-B27</f>
        <v>11337088.685525022</v>
      </c>
    </row>
    <row r="29" spans="1:11" x14ac:dyDescent="0.2">
      <c r="A29" s="35" t="s">
        <v>114</v>
      </c>
      <c r="B29" s="1">
        <v>3483</v>
      </c>
    </row>
    <row r="30" spans="1:11" x14ac:dyDescent="0.2">
      <c r="A30" t="s">
        <v>11</v>
      </c>
      <c r="B30" s="1">
        <f>+B28/B29</f>
        <v>3254.9780894415799</v>
      </c>
    </row>
  </sheetData>
  <phoneticPr fontId="0" type="noConversion"/>
  <pageMargins left="0.57999999999999996" right="0.55000000000000004" top="1" bottom="0.5" header="0.5" footer="0.5"/>
  <pageSetup scale="97" orientation="landscape" horizontalDpi="4294967294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K30"/>
  <sheetViews>
    <sheetView zoomScale="75" workbookViewId="0">
      <selection activeCell="P37" sqref="P37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42578125" style="1" customWidth="1"/>
    <col min="8" max="8" width="10.5703125" style="1" customWidth="1"/>
    <col min="9" max="9" width="11" style="1" customWidth="1"/>
    <col min="10" max="10" width="10.28515625" style="1" customWidth="1"/>
    <col min="11" max="11" width="13.570312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41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Table'!B47</f>
        <v>44429827.159999996</v>
      </c>
      <c r="C9" s="1">
        <f>'Master Expend Table'!C47</f>
        <v>94677.4</v>
      </c>
      <c r="D9" s="1">
        <f>'Master Expend Table'!D47</f>
        <v>157984.70000000001</v>
      </c>
      <c r="E9" s="1">
        <f>'Master Expend Table'!E47</f>
        <v>2550649.16</v>
      </c>
      <c r="G9" s="1">
        <f>'Master Expend Table'!G47</f>
        <v>14374592.58</v>
      </c>
      <c r="H9" s="1">
        <f>'Master Expend Table'!H47</f>
        <v>6249317.0300000003</v>
      </c>
      <c r="I9" s="1">
        <f>'Master Expend Table'!I47</f>
        <v>17478384.149999999</v>
      </c>
      <c r="J9" s="1">
        <f>'Master Expend Table'!J47</f>
        <v>9299631.6899999995</v>
      </c>
      <c r="K9" s="1">
        <f>SUM(B9:J9)</f>
        <v>94635063.870000005</v>
      </c>
    </row>
    <row r="11" spans="1:11" x14ac:dyDescent="0.2">
      <c r="A11" t="s">
        <v>3</v>
      </c>
      <c r="B11" s="1">
        <f>(B9/($K9-$J9))*-$J$11</f>
        <v>4841846.08999022</v>
      </c>
      <c r="C11" s="1">
        <f t="shared" ref="C11:I11" si="0">(C9/($K9-$J9))*-$J$11</f>
        <v>10317.694852820581</v>
      </c>
      <c r="D11" s="1">
        <f t="shared" si="0"/>
        <v>17216.758445145348</v>
      </c>
      <c r="E11" s="1">
        <f t="shared" si="0"/>
        <v>277963.05886603502</v>
      </c>
      <c r="G11" s="1">
        <f t="shared" si="0"/>
        <v>1566505.4160133139</v>
      </c>
      <c r="H11" s="1">
        <f t="shared" si="0"/>
        <v>681034.18718801963</v>
      </c>
      <c r="I11" s="1">
        <f t="shared" si="0"/>
        <v>1904748.4846444435</v>
      </c>
      <c r="J11" s="1">
        <f>-J9</f>
        <v>-9299631.6899999995</v>
      </c>
      <c r="K11" s="1">
        <v>0</v>
      </c>
    </row>
    <row r="12" spans="1:11" x14ac:dyDescent="0.2">
      <c r="A12" t="s">
        <v>4</v>
      </c>
      <c r="B12" s="1">
        <f>+B9+B11</f>
        <v>49271673.249990217</v>
      </c>
      <c r="C12" s="1">
        <f t="shared" ref="C12:J12" si="1">+C9+C11</f>
        <v>104995.09485282058</v>
      </c>
      <c r="D12" s="1">
        <f t="shared" si="1"/>
        <v>175201.45844514537</v>
      </c>
      <c r="E12" s="1">
        <f t="shared" si="1"/>
        <v>2828612.2188660353</v>
      </c>
      <c r="G12" s="1">
        <f t="shared" si="1"/>
        <v>15941097.996013314</v>
      </c>
      <c r="H12" s="1">
        <f t="shared" si="1"/>
        <v>6930351.2171880202</v>
      </c>
      <c r="I12" s="1">
        <f t="shared" si="1"/>
        <v>19383132.634644441</v>
      </c>
      <c r="J12" s="1">
        <f t="shared" si="1"/>
        <v>0</v>
      </c>
      <c r="K12" s="1">
        <f>SUM(B12:J12)</f>
        <v>94635063.869999975</v>
      </c>
    </row>
    <row r="14" spans="1:11" x14ac:dyDescent="0.2">
      <c r="A14" t="s">
        <v>5</v>
      </c>
      <c r="B14" s="1">
        <f>B$9/($K$9-$J$9-$I$9)*-I14</f>
        <v>12691227.481570831</v>
      </c>
      <c r="C14" s="1">
        <f t="shared" ref="C14:H14" si="2">C$9/($K$9-$J$9-$I$9)*-$I$14</f>
        <v>27044.274028719276</v>
      </c>
      <c r="D14" s="1">
        <f t="shared" si="2"/>
        <v>45127.786770074024</v>
      </c>
      <c r="E14" s="1">
        <f t="shared" si="2"/>
        <v>728584.16933885647</v>
      </c>
      <c r="G14" s="1">
        <f t="shared" si="2"/>
        <v>4106052.9839720442</v>
      </c>
      <c r="H14" s="1">
        <f t="shared" si="2"/>
        <v>1785095.9389639143</v>
      </c>
      <c r="I14" s="1">
        <f>-I12</f>
        <v>-19383132.634644441</v>
      </c>
      <c r="K14" s="1">
        <v>0</v>
      </c>
    </row>
    <row r="15" spans="1:11" x14ac:dyDescent="0.2">
      <c r="A15" t="s">
        <v>4</v>
      </c>
      <c r="B15" s="1">
        <f>+B12+B14</f>
        <v>61962900.73156105</v>
      </c>
      <c r="C15" s="1">
        <f>+C12+C14</f>
        <v>132039.36888153985</v>
      </c>
      <c r="D15" s="1">
        <f>+D12+D14</f>
        <v>220329.24521521939</v>
      </c>
      <c r="E15" s="1">
        <f>+E12+E14</f>
        <v>3557196.3882048917</v>
      </c>
      <c r="G15" s="1">
        <f>+G12+G14</f>
        <v>20047150.979985356</v>
      </c>
      <c r="H15" s="1">
        <f>+H12+H14</f>
        <v>8715447.1561519355</v>
      </c>
      <c r="I15" s="1">
        <f>+I12+I14</f>
        <v>0</v>
      </c>
      <c r="J15" s="1">
        <f>+J12+J14</f>
        <v>0</v>
      </c>
      <c r="K15" s="1">
        <f>SUM(B15:J15)</f>
        <v>94635063.86999999</v>
      </c>
    </row>
    <row r="17" spans="1:11" x14ac:dyDescent="0.2">
      <c r="A17" t="s">
        <v>6</v>
      </c>
      <c r="B17" s="1">
        <f>B$9/($K$9-$J$9-$I$9-$H$9)*-$H$17</f>
        <v>6285344.4605831038</v>
      </c>
      <c r="C17" s="1">
        <f>C$9/($K$9-$J$9-$I$9-$H$9)*-$H$17</f>
        <v>13393.706653177329</v>
      </c>
      <c r="D17" s="1">
        <f>D$9/($K$9-$J$9-$I$9-$H$9)*-$H$17</f>
        <v>22349.586358415258</v>
      </c>
      <c r="E17" s="1">
        <f>E$9/($K$9-$J$9-$I$9-$H$9)*-$H$17</f>
        <v>360832.11647355306</v>
      </c>
      <c r="G17" s="1">
        <f>G$9/($K$9-$J$9-$I$9-$H$9)*-$H$17</f>
        <v>2033527.286083685</v>
      </c>
      <c r="H17" s="1">
        <f>-H15</f>
        <v>-8715447.1561519355</v>
      </c>
      <c r="K17" s="1">
        <v>0</v>
      </c>
    </row>
    <row r="18" spans="1:11" x14ac:dyDescent="0.2">
      <c r="A18" t="s">
        <v>4</v>
      </c>
      <c r="B18" s="1">
        <f>+B15+B17</f>
        <v>68248245.192144156</v>
      </c>
      <c r="C18" s="1">
        <f>+C15+C17</f>
        <v>145433.07553471718</v>
      </c>
      <c r="D18" s="1">
        <f>+D15+D17</f>
        <v>242678.83157363464</v>
      </c>
      <c r="E18" s="1">
        <f>+E15+E17</f>
        <v>3918028.5046784449</v>
      </c>
      <c r="G18" s="1">
        <f>+G15+G17</f>
        <v>22080678.26606904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94635063.86999999</v>
      </c>
    </row>
    <row r="20" spans="1:11" x14ac:dyDescent="0.2">
      <c r="A20" t="s">
        <v>7</v>
      </c>
      <c r="B20" s="1">
        <f>B$9/($K$9-$J$9-$I$9-$H$9-$G$9)*-$G$20</f>
        <v>20770178.560093567</v>
      </c>
      <c r="C20" s="1">
        <f>C$9/($K$9-$J$9-$I$9-$H$9-$G$9)*-$G$20</f>
        <v>44260.052971257224</v>
      </c>
      <c r="D20" s="1">
        <f>D$9/($K$9-$J$9-$I$9-$H$9-$G$9)*-$G$20</f>
        <v>73855.124777910911</v>
      </c>
      <c r="E20" s="1">
        <f>E$9/($K$9-$J$9-$I$9-$H$9-$G$9)*-$G$20</f>
        <v>1192384.5282263006</v>
      </c>
      <c r="G20" s="1">
        <f>-G18</f>
        <v>-22080678.26606904</v>
      </c>
      <c r="K20" s="1">
        <f>SUM(B20:J20)</f>
        <v>0</v>
      </c>
    </row>
    <row r="22" spans="1:11" x14ac:dyDescent="0.2">
      <c r="A22" t="s">
        <v>8</v>
      </c>
      <c r="B22" s="1">
        <f>+B20+B18</f>
        <v>89018423.752237722</v>
      </c>
      <c r="C22" s="1">
        <f t="shared" ref="C22:K22" si="3">+C20+C18</f>
        <v>189693.1285059744</v>
      </c>
      <c r="D22" s="1">
        <f t="shared" si="3"/>
        <v>316533.95635154552</v>
      </c>
      <c r="E22" s="1">
        <f t="shared" si="3"/>
        <v>5110413.032904746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94635063.86999999</v>
      </c>
    </row>
    <row r="27" spans="1:11" x14ac:dyDescent="0.2">
      <c r="A27" t="s">
        <v>9</v>
      </c>
      <c r="B27" s="1">
        <f>+B9</f>
        <v>44429827.159999996</v>
      </c>
    </row>
    <row r="28" spans="1:11" x14ac:dyDescent="0.2">
      <c r="A28" t="s">
        <v>10</v>
      </c>
      <c r="B28" s="1">
        <f>+B22-B27</f>
        <v>44588596.592237726</v>
      </c>
    </row>
    <row r="29" spans="1:11" x14ac:dyDescent="0.2">
      <c r="A29" s="35" t="s">
        <v>114</v>
      </c>
      <c r="B29" s="1">
        <v>8267</v>
      </c>
    </row>
    <row r="30" spans="1:11" x14ac:dyDescent="0.2">
      <c r="A30" t="s">
        <v>11</v>
      </c>
      <c r="B30" s="1">
        <f>+B28/B29</f>
        <v>5393.5643634012004</v>
      </c>
    </row>
  </sheetData>
  <phoneticPr fontId="0" type="noConversion"/>
  <pageMargins left="0.61" right="0.55000000000000004" top="1" bottom="0.57999999999999996" header="0.5" footer="0.5"/>
  <pageSetup scale="96" orientation="landscape" horizontalDpi="4294967294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workbookViewId="0">
      <selection activeCell="C39" sqref="C39"/>
    </sheetView>
  </sheetViews>
  <sheetFormatPr defaultRowHeight="12" x14ac:dyDescent="0.2"/>
  <cols>
    <col min="1" max="1" width="34.140625" style="13" customWidth="1"/>
    <col min="2" max="2" width="10.5703125" style="32" bestFit="1" customWidth="1"/>
    <col min="3" max="16384" width="9.140625" style="13"/>
  </cols>
  <sheetData>
    <row r="1" spans="1:3" x14ac:dyDescent="0.2">
      <c r="A1" s="16" t="s">
        <v>117</v>
      </c>
    </row>
    <row r="2" spans="1:3" x14ac:dyDescent="0.2">
      <c r="A2" s="16" t="s">
        <v>115</v>
      </c>
    </row>
    <row r="5" spans="1:3" x14ac:dyDescent="0.2">
      <c r="A5" s="14" t="s">
        <v>44</v>
      </c>
      <c r="B5" s="32" t="s">
        <v>10</v>
      </c>
      <c r="C5" s="13" t="s">
        <v>11</v>
      </c>
    </row>
    <row r="6" spans="1:3" x14ac:dyDescent="0.2">
      <c r="A6" s="17" t="s">
        <v>48</v>
      </c>
      <c r="B6" s="33">
        <f>'ALEX TC'!B28</f>
        <v>9050182.3250642847</v>
      </c>
      <c r="C6" s="33">
        <f>'ALEX TC'!B30</f>
        <v>4170.5909332093479</v>
      </c>
    </row>
    <row r="7" spans="1:3" x14ac:dyDescent="0.2">
      <c r="A7" s="17" t="s">
        <v>49</v>
      </c>
      <c r="B7" s="33">
        <f>'ANOKARAM CC'!B28</f>
        <v>19035291.676001493</v>
      </c>
      <c r="C7" s="33">
        <f>'ANOKARAM CC'!B30</f>
        <v>3348.925347642768</v>
      </c>
    </row>
    <row r="8" spans="1:3" x14ac:dyDescent="0.2">
      <c r="A8" s="17" t="s">
        <v>80</v>
      </c>
      <c r="B8" s="34">
        <f>'ANOKA TC'!B28</f>
        <v>6672122.4901839439</v>
      </c>
      <c r="C8" s="34">
        <f>'ANOKA TC'!B30</f>
        <v>4360.8643726692444</v>
      </c>
    </row>
    <row r="9" spans="1:3" x14ac:dyDescent="0.2">
      <c r="A9" s="17" t="s">
        <v>94</v>
      </c>
      <c r="B9" s="33">
        <f>B10+B11</f>
        <v>25738964.036763016</v>
      </c>
      <c r="C9" s="34">
        <f>'BSU &amp; TC'!B30</f>
        <v>5153.7676972129611</v>
      </c>
    </row>
    <row r="10" spans="1:3" x14ac:dyDescent="0.2">
      <c r="A10" s="17" t="s">
        <v>92</v>
      </c>
      <c r="B10" s="34">
        <f>'BEMIDJI SU'!B28</f>
        <v>21593901.793288026</v>
      </c>
      <c r="C10" s="34">
        <f>'BEMIDJI SU'!B30</f>
        <v>5026.513452813786</v>
      </c>
    </row>
    <row r="11" spans="1:3" x14ac:dyDescent="0.2">
      <c r="A11" s="17" t="s">
        <v>93</v>
      </c>
      <c r="B11" s="34">
        <f>'NTC-Bemidji'!B28</f>
        <v>4145062.2434749911</v>
      </c>
      <c r="C11" s="34">
        <f>'NTC-Bemidji'!B30</f>
        <v>5733.1427987205961</v>
      </c>
    </row>
    <row r="12" spans="1:3" x14ac:dyDescent="0.2">
      <c r="A12" s="17" t="s">
        <v>50</v>
      </c>
      <c r="B12" s="34">
        <f>'CENTRAL LAKES'!B28</f>
        <v>13079705.637330029</v>
      </c>
      <c r="C12" s="34">
        <f>'CENTRAL LAKES'!B30</f>
        <v>4079.7584645446132</v>
      </c>
    </row>
    <row r="13" spans="1:3" x14ac:dyDescent="0.2">
      <c r="A13" s="17" t="s">
        <v>51</v>
      </c>
      <c r="B13" s="34">
        <f>CENTURY!B28</f>
        <v>26545732.178236246</v>
      </c>
      <c r="C13" s="34">
        <f>CENTURY!B30</f>
        <v>3816.7839221044205</v>
      </c>
    </row>
    <row r="14" spans="1:3" x14ac:dyDescent="0.2">
      <c r="A14" s="17" t="s">
        <v>52</v>
      </c>
      <c r="B14" s="34">
        <f>'DAKCTY TC'!B28</f>
        <v>9805888.1434166376</v>
      </c>
      <c r="C14" s="34">
        <f>'DAKCTY TC'!B30</f>
        <v>4387.421988105878</v>
      </c>
    </row>
    <row r="15" spans="1:3" x14ac:dyDescent="0.2">
      <c r="A15" s="17" t="s">
        <v>53</v>
      </c>
      <c r="B15" s="34">
        <f>'FDL CC'!B28</f>
        <v>5026688.3331666784</v>
      </c>
      <c r="C15" s="34">
        <f>'FDL CC'!B30</f>
        <v>4018.1361576072568</v>
      </c>
    </row>
    <row r="16" spans="1:3" x14ac:dyDescent="0.2">
      <c r="A16" s="17" t="s">
        <v>54</v>
      </c>
      <c r="B16" s="34">
        <f>'HENN TC'!B28</f>
        <v>18159961.457889855</v>
      </c>
      <c r="C16" s="34">
        <f>'HENN TC'!B30</f>
        <v>4309.4355619102644</v>
      </c>
    </row>
    <row r="17" spans="1:3" x14ac:dyDescent="0.2">
      <c r="A17" s="17" t="s">
        <v>55</v>
      </c>
      <c r="B17" s="34">
        <f>'INVER HILLS'!B28</f>
        <v>15956061.347357711</v>
      </c>
      <c r="C17" s="34">
        <f>'INVER HILLS'!B30</f>
        <v>4045.6544998371478</v>
      </c>
    </row>
    <row r="18" spans="1:3" x14ac:dyDescent="0.2">
      <c r="A18" s="17" t="s">
        <v>56</v>
      </c>
      <c r="B18" s="34">
        <f>'LAKE SUPERIOR'!B28</f>
        <v>12967476.313132297</v>
      </c>
      <c r="C18" s="34">
        <f>'LAKE SUPERIOR'!B30</f>
        <v>3599.0775223792111</v>
      </c>
    </row>
    <row r="19" spans="1:3" x14ac:dyDescent="0.2">
      <c r="A19" s="17" t="s">
        <v>81</v>
      </c>
      <c r="B19" s="34">
        <f>'METRO SU'!B28</f>
        <v>42768403.289772712</v>
      </c>
      <c r="C19" s="34">
        <f>'METRO SU'!B30</f>
        <v>6907.0418749632936</v>
      </c>
    </row>
    <row r="20" spans="1:3" x14ac:dyDescent="0.2">
      <c r="A20" s="17" t="s">
        <v>57</v>
      </c>
      <c r="B20" s="34">
        <f>'MPLS COLLEGE'!B28</f>
        <v>26248285.013059583</v>
      </c>
      <c r="C20" s="34">
        <f>'MPLS COLLEGE'!B30</f>
        <v>4048.162401767363</v>
      </c>
    </row>
    <row r="21" spans="1:3" x14ac:dyDescent="0.2">
      <c r="A21" s="17" t="s">
        <v>82</v>
      </c>
      <c r="B21" s="34">
        <f>'MN SC-SOUTHEAST'!B28</f>
        <v>8438907.4638977367</v>
      </c>
      <c r="C21" s="34">
        <f>'MN SC-SOUTHEAST'!B30</f>
        <v>5284.225086974162</v>
      </c>
    </row>
    <row r="22" spans="1:3" x14ac:dyDescent="0.2">
      <c r="A22" s="17" t="s">
        <v>97</v>
      </c>
      <c r="B22" s="34">
        <f>'MINNESOTA STATE COLLEGE'!B28</f>
        <v>21594533.866153918</v>
      </c>
      <c r="C22" s="34">
        <f>'MINNESOTA STATE COLLEGE'!B30</f>
        <v>4770.1643176836578</v>
      </c>
    </row>
    <row r="23" spans="1:3" x14ac:dyDescent="0.2">
      <c r="A23" s="17" t="s">
        <v>58</v>
      </c>
      <c r="B23" s="34">
        <f>'MSU MOORHEAD'!B28</f>
        <v>33639873.729416229</v>
      </c>
      <c r="C23" s="34">
        <f>'MSU MOORHEAD'!B30</f>
        <v>5618.8197309865091</v>
      </c>
    </row>
    <row r="24" spans="1:3" x14ac:dyDescent="0.2">
      <c r="A24" s="17" t="s">
        <v>59</v>
      </c>
      <c r="B24" s="34">
        <f>'MSU MANKATO'!B28</f>
        <v>65977735.328736469</v>
      </c>
      <c r="C24" s="34">
        <f>'MSU MANKATO'!B30</f>
        <v>4652.8727312226001</v>
      </c>
    </row>
    <row r="25" spans="1:3" x14ac:dyDescent="0.2">
      <c r="A25" s="17" t="s">
        <v>60</v>
      </c>
      <c r="B25" s="34">
        <f>'MN WEST'!B28</f>
        <v>9931415.6825958174</v>
      </c>
      <c r="C25" s="34">
        <f>'MN WEST'!B30</f>
        <v>4731.4986577397895</v>
      </c>
    </row>
    <row r="26" spans="1:3" ht="24" x14ac:dyDescent="0.2">
      <c r="A26" s="17" t="s">
        <v>79</v>
      </c>
      <c r="B26" s="33"/>
    </row>
    <row r="27" spans="1:3" x14ac:dyDescent="0.2">
      <c r="A27" s="17" t="s">
        <v>61</v>
      </c>
      <c r="B27" s="34">
        <f>NORMANDALE!B28</f>
        <v>25797846.741403464</v>
      </c>
      <c r="C27" s="34">
        <f>NORMANDALE!B30</f>
        <v>3827.573700504965</v>
      </c>
    </row>
    <row r="28" spans="1:3" x14ac:dyDescent="0.2">
      <c r="A28" s="17" t="s">
        <v>62</v>
      </c>
      <c r="B28" s="34">
        <f>'NO HENN CC'!B28</f>
        <v>20045170.415096305</v>
      </c>
      <c r="C28" s="34">
        <f>'NO HENN CC'!B30</f>
        <v>4164.7975098891138</v>
      </c>
    </row>
    <row r="29" spans="1:3" x14ac:dyDescent="0.2">
      <c r="A29" s="17" t="s">
        <v>63</v>
      </c>
      <c r="B29" s="33">
        <f>SUM(B30:B34)</f>
        <v>19646480.538872257</v>
      </c>
      <c r="C29" s="34">
        <f>NHED!B30</f>
        <v>4858.5972230795605</v>
      </c>
    </row>
    <row r="30" spans="1:3" x14ac:dyDescent="0.2">
      <c r="A30" s="17" t="s">
        <v>91</v>
      </c>
      <c r="B30" s="34">
        <f>HIBBING!B28</f>
        <v>5606466.4609217141</v>
      </c>
      <c r="C30" s="34">
        <f>HIBBING!B30</f>
        <v>5028.2210411853939</v>
      </c>
    </row>
    <row r="31" spans="1:3" x14ac:dyDescent="0.2">
      <c r="A31" s="17" t="s">
        <v>64</v>
      </c>
      <c r="B31" s="34">
        <f>'ITASCA CC'!B28</f>
        <v>4576264.1847864483</v>
      </c>
      <c r="C31" s="34">
        <f>'ITASCA CC'!B30</f>
        <v>4504.1970322701263</v>
      </c>
    </row>
    <row r="32" spans="1:3" x14ac:dyDescent="0.2">
      <c r="A32" s="17" t="s">
        <v>65</v>
      </c>
      <c r="B32" s="34">
        <f>'MESABI RANGE'!B28</f>
        <v>4704151.0742681911</v>
      </c>
      <c r="C32" s="34">
        <f>'MESABI RANGE'!B30</f>
        <v>4510.2119599886782</v>
      </c>
    </row>
    <row r="33" spans="1:3" x14ac:dyDescent="0.2">
      <c r="A33" s="17" t="s">
        <v>66</v>
      </c>
      <c r="B33" s="34">
        <f>'RAINY RIVER'!B28</f>
        <v>1608342.4103493846</v>
      </c>
      <c r="C33" s="34">
        <f>'RAINY RIVER'!B30</f>
        <v>6023.7543458778455</v>
      </c>
    </row>
    <row r="34" spans="1:3" x14ac:dyDescent="0.2">
      <c r="A34" s="17" t="s">
        <v>67</v>
      </c>
      <c r="B34" s="34">
        <f>VERMILION!B28</f>
        <v>3151256.4085465195</v>
      </c>
      <c r="C34" s="34">
        <f>VERMILION!B30</f>
        <v>5314.0917513432032</v>
      </c>
    </row>
    <row r="35" spans="1:3" x14ac:dyDescent="0.2">
      <c r="A35" s="17" t="s">
        <v>68</v>
      </c>
      <c r="B35" s="33"/>
      <c r="C35" s="33"/>
    </row>
    <row r="36" spans="1:3" x14ac:dyDescent="0.2">
      <c r="A36" s="17" t="s">
        <v>69</v>
      </c>
      <c r="B36" s="34">
        <f>NORTHLAND!B28</f>
        <v>11744180.459357813</v>
      </c>
      <c r="C36" s="34">
        <f>NORTHLAND!B30</f>
        <v>4591.1573336035235</v>
      </c>
    </row>
    <row r="37" spans="1:3" x14ac:dyDescent="0.2">
      <c r="A37" s="17" t="s">
        <v>70</v>
      </c>
      <c r="B37" s="34">
        <f>'PINE TC'!B28</f>
        <v>3681961.7443392342</v>
      </c>
      <c r="C37" s="34">
        <f>'PINE TC'!B30</f>
        <v>5244.9597497709892</v>
      </c>
    </row>
    <row r="38" spans="1:3" x14ac:dyDescent="0.2">
      <c r="A38" s="17" t="s">
        <v>71</v>
      </c>
      <c r="B38" s="34">
        <f>RIDGEWATER!B28</f>
        <v>12831016.082173074</v>
      </c>
      <c r="C38" s="34">
        <f>RIDGEWATER!B30</f>
        <v>4169.9759773068163</v>
      </c>
    </row>
    <row r="39" spans="1:3" x14ac:dyDescent="0.2">
      <c r="A39" s="17" t="s">
        <v>72</v>
      </c>
      <c r="B39" s="34">
        <f>RIVERLAND!B28</f>
        <v>10944871.47153471</v>
      </c>
      <c r="C39" s="34">
        <f>RIVERLAND!B30</f>
        <v>4974.9415779703231</v>
      </c>
    </row>
    <row r="40" spans="1:3" x14ac:dyDescent="0.2">
      <c r="A40" s="17" t="s">
        <v>73</v>
      </c>
      <c r="B40" s="34">
        <f>ROCHESTER!B28</f>
        <v>18148953.929865211</v>
      </c>
      <c r="C40" s="34">
        <f>ROCHESTER!B30</f>
        <v>4224.6168365608037</v>
      </c>
    </row>
    <row r="41" spans="1:3" x14ac:dyDescent="0.2">
      <c r="A41" s="17" t="s">
        <v>84</v>
      </c>
      <c r="B41" s="34">
        <f>'SAINT PAUL'!B28</f>
        <v>17275055.283398919</v>
      </c>
      <c r="C41" s="34">
        <f>'SAINT PAUL'!B30</f>
        <v>3580.3223385282731</v>
      </c>
    </row>
    <row r="42" spans="1:3" x14ac:dyDescent="0.2">
      <c r="A42" s="17" t="s">
        <v>105</v>
      </c>
      <c r="B42" s="34">
        <f>'SOUTH CENTRAL'!B28</f>
        <v>11987650.484681502</v>
      </c>
      <c r="C42" s="34">
        <f>'SOUTH CENTRAL'!B30</f>
        <v>4628.4364805720088</v>
      </c>
    </row>
    <row r="43" spans="1:3" x14ac:dyDescent="0.2">
      <c r="A43" s="17" t="s">
        <v>83</v>
      </c>
      <c r="B43" s="34">
        <f>'SOUTHWEST MN SU'!B28</f>
        <v>16823810.78564474</v>
      </c>
      <c r="C43" s="34">
        <f>'SOUTHWEST MN SU'!B30</f>
        <v>4572.9303576093344</v>
      </c>
    </row>
    <row r="44" spans="1:3" x14ac:dyDescent="0.2">
      <c r="A44" s="17" t="s">
        <v>74</v>
      </c>
      <c r="B44" s="34">
        <f>'ST CLOUD SU'!B28</f>
        <v>64054102.02720578</v>
      </c>
      <c r="C44" s="34">
        <f>'ST CLOUD SU'!B30</f>
        <v>5173.5806499641212</v>
      </c>
    </row>
    <row r="45" spans="1:3" x14ac:dyDescent="0.2">
      <c r="A45" s="17" t="s">
        <v>75</v>
      </c>
      <c r="B45" s="34">
        <f>'ST CLOUD TCC'!B28</f>
        <v>11337088.685525022</v>
      </c>
      <c r="C45" s="34">
        <f>'ST CLOUD TCC'!B30</f>
        <v>3254.9780894415799</v>
      </c>
    </row>
    <row r="46" spans="1:3" x14ac:dyDescent="0.2">
      <c r="A46" s="17" t="s">
        <v>76</v>
      </c>
      <c r="B46" s="34">
        <f>'WINONA SU'!B28</f>
        <v>44588596.592237726</v>
      </c>
      <c r="C46" s="34">
        <f>'WINONA SU'!B30</f>
        <v>5393.5643634012004</v>
      </c>
    </row>
    <row r="48" spans="1:3" x14ac:dyDescent="0.2">
      <c r="C48" s="32"/>
    </row>
    <row r="50" spans="1:1" s="13" customFormat="1" x14ac:dyDescent="0.2">
      <c r="A50" s="31" t="s">
        <v>78</v>
      </c>
    </row>
    <row r="51" spans="1:1" s="13" customFormat="1" x14ac:dyDescent="0.2">
      <c r="A51" s="31" t="s">
        <v>111</v>
      </c>
    </row>
  </sheetData>
  <phoneticPr fontId="11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1" style="1" bestFit="1" customWidth="1"/>
    <col min="5" max="5" width="9.28515625" style="1" customWidth="1"/>
    <col min="6" max="6" width="2.7109375" style="3" customWidth="1"/>
    <col min="7" max="7" width="11.140625" style="1" bestFit="1" customWidth="1"/>
    <col min="8" max="8" width="11.5703125" style="1" bestFit="1" customWidth="1"/>
    <col min="9" max="9" width="11.140625" style="1" bestFit="1" customWidth="1"/>
    <col min="10" max="10" width="13.7109375" style="1" bestFit="1" customWidth="1"/>
    <col min="11" max="11" width="11.7109375" style="1" bestFit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Table'!B8</f>
        <v>18894304.09</v>
      </c>
      <c r="C9" s="1">
        <f>'Master Expend Table'!C8</f>
        <v>41120.120000000003</v>
      </c>
      <c r="D9" s="1">
        <f>'Master Expend Table'!D8</f>
        <v>1108482.08</v>
      </c>
      <c r="E9" s="1">
        <f>'Master Expend Table'!E8</f>
        <v>24774.69</v>
      </c>
      <c r="G9" s="1">
        <f>'Master Expend Table'!G8</f>
        <v>6088329.1200000001</v>
      </c>
      <c r="H9" s="1">
        <f>'Master Expend Table'!H8</f>
        <v>4027660.95</v>
      </c>
      <c r="I9" s="1">
        <f>'Master Expend Table'!I8</f>
        <v>5940999.5899999999</v>
      </c>
      <c r="J9" s="1">
        <f>'Master Expend Table'!J8</f>
        <v>4161442</v>
      </c>
      <c r="K9" s="1">
        <f>SUM(B9:J9)</f>
        <v>40287112.640000001</v>
      </c>
    </row>
    <row r="11" spans="1:11" x14ac:dyDescent="0.2">
      <c r="A11" t="s">
        <v>3</v>
      </c>
      <c r="B11" s="1">
        <f>(B9/($K9-$J9))*-$J$11</f>
        <v>2176500.7876099539</v>
      </c>
      <c r="C11" s="1">
        <f t="shared" ref="C11:I11" si="0">(C9/($K9-$J9))*-$J$11</f>
        <v>4736.7700414001229</v>
      </c>
      <c r="D11" s="1">
        <f t="shared" si="0"/>
        <v>127689.91695483608</v>
      </c>
      <c r="E11" s="1">
        <f t="shared" si="0"/>
        <v>2853.8829501707487</v>
      </c>
      <c r="G11" s="1">
        <f t="shared" si="0"/>
        <v>701335.86618424207</v>
      </c>
      <c r="H11" s="1">
        <f t="shared" si="0"/>
        <v>463960.31249123684</v>
      </c>
      <c r="I11" s="1">
        <f t="shared" si="0"/>
        <v>684364.46376816044</v>
      </c>
      <c r="J11" s="1">
        <f>-J9</f>
        <v>-4161442</v>
      </c>
      <c r="K11" s="1">
        <v>0</v>
      </c>
    </row>
    <row r="12" spans="1:11" x14ac:dyDescent="0.2">
      <c r="A12" t="s">
        <v>4</v>
      </c>
      <c r="B12" s="1">
        <f>+B9+B11</f>
        <v>21070804.877609953</v>
      </c>
      <c r="C12" s="1">
        <f t="shared" ref="C12:J12" si="1">+C9+C11</f>
        <v>45856.890041400125</v>
      </c>
      <c r="D12" s="1">
        <f t="shared" si="1"/>
        <v>1236171.9969548362</v>
      </c>
      <c r="E12" s="1">
        <f t="shared" si="1"/>
        <v>27628.572950170746</v>
      </c>
      <c r="G12" s="1">
        <f t="shared" si="1"/>
        <v>6789664.9861842422</v>
      </c>
      <c r="H12" s="1">
        <f t="shared" si="1"/>
        <v>4491621.2624912374</v>
      </c>
      <c r="I12" s="1">
        <f t="shared" si="1"/>
        <v>6625364.0537681598</v>
      </c>
      <c r="J12" s="1">
        <f t="shared" si="1"/>
        <v>0</v>
      </c>
      <c r="K12" s="1">
        <f>SUM(B12:J12)</f>
        <v>40287112.640000001</v>
      </c>
    </row>
    <row r="14" spans="1:11" x14ac:dyDescent="0.2">
      <c r="A14" t="s">
        <v>5</v>
      </c>
      <c r="B14" s="1">
        <f>B$9/($K$9-$J$9-$I$9)*-I14</f>
        <v>4147192.5578215215</v>
      </c>
      <c r="C14" s="1">
        <f t="shared" ref="C14:H14" si="2">C$9/($K$9-$J$9-$I$9)*-$I$14</f>
        <v>9025.6330600175024</v>
      </c>
      <c r="D14" s="1">
        <f t="shared" si="2"/>
        <v>243305.52799177059</v>
      </c>
      <c r="E14" s="1">
        <f t="shared" si="2"/>
        <v>5437.9039048447567</v>
      </c>
      <c r="G14" s="1">
        <f t="shared" si="2"/>
        <v>1336353.7019283811</v>
      </c>
      <c r="H14" s="1">
        <f t="shared" si="2"/>
        <v>884048.72906162485</v>
      </c>
      <c r="I14" s="1">
        <f>-I12</f>
        <v>-6625364.0537681598</v>
      </c>
      <c r="K14" s="1">
        <v>0</v>
      </c>
    </row>
    <row r="15" spans="1:11" x14ac:dyDescent="0.2">
      <c r="A15" t="s">
        <v>4</v>
      </c>
      <c r="B15" s="1">
        <f>+B12+B14</f>
        <v>25217997.435431473</v>
      </c>
      <c r="C15" s="1">
        <f>+C12+C14</f>
        <v>54882.523101417624</v>
      </c>
      <c r="D15" s="1">
        <f>+D12+D14</f>
        <v>1479477.5249466067</v>
      </c>
      <c r="E15" s="1">
        <f>+E12+E14</f>
        <v>33066.476855015506</v>
      </c>
      <c r="G15" s="1">
        <f>+G12+G14</f>
        <v>8126018.6881126231</v>
      </c>
      <c r="H15" s="1">
        <f>+H12+H14</f>
        <v>5375669.9915528623</v>
      </c>
      <c r="I15" s="1">
        <f>+I12+I14</f>
        <v>0</v>
      </c>
      <c r="J15" s="1">
        <f>+J12+J14</f>
        <v>0</v>
      </c>
      <c r="K15" s="1">
        <f>SUM(B15:J15)</f>
        <v>40287112.640000001</v>
      </c>
    </row>
    <row r="17" spans="1:11" x14ac:dyDescent="0.2">
      <c r="A17" t="s">
        <v>6</v>
      </c>
      <c r="B17" s="1">
        <f>B$9/($K$9-$J$9-$I$9-$H$9)*-$H$17</f>
        <v>3883071.6171145071</v>
      </c>
      <c r="C17" s="1">
        <f>C$9/($K$9-$J$9-$I$9-$H$9)*-$H$17</f>
        <v>8450.8204220578209</v>
      </c>
      <c r="D17" s="1">
        <f>D$9/($K$9-$J$9-$I$9-$H$9)*-$H$17</f>
        <v>227810.20578610009</v>
      </c>
      <c r="E17" s="1">
        <f>E$9/($K$9-$J$9-$I$9-$H$9)*-$H$17</f>
        <v>5091.5818388212792</v>
      </c>
      <c r="G17" s="1">
        <f>G$9/($K$9-$J$9-$I$9-$H$9)*-$H$17</f>
        <v>1251245.7663913753</v>
      </c>
      <c r="H17" s="1">
        <f>-H15</f>
        <v>-5375669.9915528623</v>
      </c>
      <c r="K17" s="1">
        <v>0</v>
      </c>
    </row>
    <row r="18" spans="1:11" x14ac:dyDescent="0.2">
      <c r="A18" t="s">
        <v>4</v>
      </c>
      <c r="B18" s="1">
        <f>+B15+B17</f>
        <v>29101069.05254598</v>
      </c>
      <c r="C18" s="1">
        <f>+C15+C17</f>
        <v>63333.343523475443</v>
      </c>
      <c r="D18" s="1">
        <f>+D15+D17</f>
        <v>1707287.7307327068</v>
      </c>
      <c r="E18" s="1">
        <f>+E15+E17</f>
        <v>38158.058693836785</v>
      </c>
      <c r="G18" s="1">
        <f>+G15+G17</f>
        <v>9377264.4545039982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40287112.640000001</v>
      </c>
    </row>
    <row r="20" spans="1:11" x14ac:dyDescent="0.2">
      <c r="A20" t="s">
        <v>7</v>
      </c>
      <c r="B20" s="1">
        <f>B$9/($K$9-$J$9-$I$9-$H$9-$G$9)*-$G$20</f>
        <v>8828526.7134555094</v>
      </c>
      <c r="C20" s="1">
        <f>C$9/($K$9-$J$9-$I$9-$H$9-$G$9)*-$G$20</f>
        <v>19213.73108801787</v>
      </c>
      <c r="D20" s="1">
        <f>D$9/($K$9-$J$9-$I$9-$H$9-$G$9)*-$G$20</f>
        <v>517947.82216118812</v>
      </c>
      <c r="E20" s="1">
        <f>E$9/($K$9-$J$9-$I$9-$H$9-$G$9)*-$G$20</f>
        <v>11576.187799281846</v>
      </c>
      <c r="G20" s="1">
        <f>-G18</f>
        <v>-9377264.4545039982</v>
      </c>
      <c r="K20" s="1">
        <f>SUM(B20:J20)</f>
        <v>0</v>
      </c>
    </row>
    <row r="22" spans="1:11" x14ac:dyDescent="0.2">
      <c r="A22" t="s">
        <v>8</v>
      </c>
      <c r="B22" s="1">
        <f>+B20+B18</f>
        <v>37929595.766001493</v>
      </c>
      <c r="C22" s="1">
        <f t="shared" ref="C22:K22" si="3">+C20+C18</f>
        <v>82547.074611493314</v>
      </c>
      <c r="D22" s="1">
        <f t="shared" si="3"/>
        <v>2225235.5528938947</v>
      </c>
      <c r="E22" s="1">
        <f t="shared" si="3"/>
        <v>49734.246493118633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40287112.640000001</v>
      </c>
    </row>
    <row r="27" spans="1:11" x14ac:dyDescent="0.2">
      <c r="A27" t="s">
        <v>9</v>
      </c>
      <c r="B27" s="1">
        <f>+B9</f>
        <v>18894304.09</v>
      </c>
    </row>
    <row r="28" spans="1:11" x14ac:dyDescent="0.2">
      <c r="A28" t="s">
        <v>10</v>
      </c>
      <c r="B28" s="1">
        <f>+B22-B27</f>
        <v>19035291.676001493</v>
      </c>
    </row>
    <row r="29" spans="1:11" x14ac:dyDescent="0.2">
      <c r="A29" s="35" t="s">
        <v>114</v>
      </c>
      <c r="B29" s="1">
        <v>5684</v>
      </c>
    </row>
    <row r="30" spans="1:11" x14ac:dyDescent="0.2">
      <c r="A30" t="s">
        <v>11</v>
      </c>
      <c r="B30" s="1">
        <f>+B28/B29</f>
        <v>3348.925347642768</v>
      </c>
    </row>
  </sheetData>
  <phoneticPr fontId="0" type="noConversion"/>
  <pageMargins left="0.57999999999999996" right="0.55000000000000004" top="0.75" bottom="0.56000000000000005" header="0.5" footer="0.5"/>
  <pageSetup orientation="landscape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0"/>
  <sheetViews>
    <sheetView zoomScale="75" workbookViewId="0">
      <selection activeCell="C29" sqref="C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9.285156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85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Table'!B9</f>
        <v>7734177.8499999996</v>
      </c>
      <c r="C9" s="1">
        <f>'Master Expend Table'!C9</f>
        <v>0</v>
      </c>
      <c r="D9" s="1">
        <f>'Master Expend Table'!D9</f>
        <v>1285317.31</v>
      </c>
      <c r="E9" s="1">
        <f>'Master Expend Table'!E9</f>
        <v>0</v>
      </c>
      <c r="G9" s="1">
        <f>'Master Expend Table'!G9</f>
        <v>1542408.1</v>
      </c>
      <c r="H9" s="1">
        <f>'Master Expend Table'!H9</f>
        <v>1450168.65</v>
      </c>
      <c r="I9" s="1">
        <f>'Master Expend Table'!I9</f>
        <v>3156231.05</v>
      </c>
      <c r="J9" s="1">
        <f>'Master Expend Table'!J9</f>
        <v>1632132.55</v>
      </c>
      <c r="K9" s="1">
        <f>SUM(B9:J9)</f>
        <v>16800435.510000002</v>
      </c>
    </row>
    <row r="11" spans="1:11" x14ac:dyDescent="0.2">
      <c r="A11" t="s">
        <v>3</v>
      </c>
      <c r="B11" s="1">
        <f>(B9/($K9-$J9))*-$J$11</f>
        <v>832209.34139846696</v>
      </c>
      <c r="C11" s="1">
        <f t="shared" ref="C11:I11" si="0">(C9/($K9-$J9))*-$J$11</f>
        <v>0</v>
      </c>
      <c r="D11" s="1">
        <f t="shared" si="0"/>
        <v>138302.10434624919</v>
      </c>
      <c r="E11" s="1">
        <f t="shared" si="0"/>
        <v>0</v>
      </c>
      <c r="G11" s="1">
        <f t="shared" si="0"/>
        <v>165965.46575000999</v>
      </c>
      <c r="H11" s="1">
        <f t="shared" si="0"/>
        <v>156040.36014418828</v>
      </c>
      <c r="I11" s="1">
        <f t="shared" si="0"/>
        <v>339615.27836108551</v>
      </c>
      <c r="J11" s="1">
        <f>-J9</f>
        <v>-1632132.55</v>
      </c>
      <c r="K11" s="1">
        <v>0</v>
      </c>
    </row>
    <row r="12" spans="1:11" x14ac:dyDescent="0.2">
      <c r="A12" t="s">
        <v>4</v>
      </c>
      <c r="B12" s="1">
        <f>+B9+B11</f>
        <v>8566387.191398466</v>
      </c>
      <c r="C12" s="1">
        <f t="shared" ref="C12:J12" si="1">+C9+C11</f>
        <v>0</v>
      </c>
      <c r="D12" s="1">
        <f t="shared" si="1"/>
        <v>1423619.4143462493</v>
      </c>
      <c r="E12" s="1">
        <f t="shared" si="1"/>
        <v>0</v>
      </c>
      <c r="G12" s="1">
        <f t="shared" si="1"/>
        <v>1708373.5657500101</v>
      </c>
      <c r="H12" s="1">
        <f t="shared" si="1"/>
        <v>1606209.0101441881</v>
      </c>
      <c r="I12" s="1">
        <f t="shared" si="1"/>
        <v>3495846.3283610852</v>
      </c>
      <c r="J12" s="1">
        <f t="shared" si="1"/>
        <v>0</v>
      </c>
      <c r="K12" s="1">
        <f>SUM(B12:J12)</f>
        <v>16800435.510000002</v>
      </c>
    </row>
    <row r="14" spans="1:11" x14ac:dyDescent="0.2">
      <c r="A14" t="s">
        <v>5</v>
      </c>
      <c r="B14" s="1">
        <f>B$9/($K$9-$J$9-$I$9)*-I14</f>
        <v>2250860.421282154</v>
      </c>
      <c r="C14" s="1">
        <f t="shared" ref="C14:H14" si="2">C$9/($K$9-$J$9-$I$9)*-$I$14</f>
        <v>0</v>
      </c>
      <c r="D14" s="1">
        <f t="shared" si="2"/>
        <v>374063.01199394395</v>
      </c>
      <c r="E14" s="1">
        <f t="shared" si="2"/>
        <v>0</v>
      </c>
      <c r="G14" s="1">
        <f t="shared" si="2"/>
        <v>448883.56759923836</v>
      </c>
      <c r="H14" s="1">
        <f t="shared" si="2"/>
        <v>422039.32748574857</v>
      </c>
      <c r="I14" s="1">
        <f>-I12</f>
        <v>-3495846.3283610852</v>
      </c>
      <c r="K14" s="1">
        <v>0</v>
      </c>
    </row>
    <row r="15" spans="1:11" x14ac:dyDescent="0.2">
      <c r="A15" t="s">
        <v>4</v>
      </c>
      <c r="B15" s="1">
        <f>+B12+B14</f>
        <v>10817247.61268062</v>
      </c>
      <c r="C15" s="1">
        <f>+C12+C14</f>
        <v>0</v>
      </c>
      <c r="D15" s="1">
        <f>+D12+D14</f>
        <v>1797682.4263401933</v>
      </c>
      <c r="E15" s="1">
        <f>+E12+E14</f>
        <v>0</v>
      </c>
      <c r="G15" s="1">
        <f>+G12+G14</f>
        <v>2157257.1333492482</v>
      </c>
      <c r="H15" s="1">
        <f>+H12+H14</f>
        <v>2028248.3376299366</v>
      </c>
      <c r="I15" s="1">
        <f>+I12+I14</f>
        <v>0</v>
      </c>
      <c r="J15" s="1">
        <f>+J12+J14</f>
        <v>0</v>
      </c>
      <c r="K15" s="1">
        <f>SUM(B15:J15)</f>
        <v>16800435.509999998</v>
      </c>
    </row>
    <row r="17" spans="1:11" x14ac:dyDescent="0.2">
      <c r="A17" t="s">
        <v>6</v>
      </c>
      <c r="B17" s="1">
        <f>B$9/($K$9-$J$9-$I$9-$H$9)*-$H$17</f>
        <v>1485227.8970027962</v>
      </c>
      <c r="C17" s="1">
        <f>C$9/($K$9-$J$9-$I$9-$H$9)*-$H$17</f>
        <v>0</v>
      </c>
      <c r="D17" s="1">
        <f>D$9/($K$9-$J$9-$I$9-$H$9)*-$H$17</f>
        <v>246825.08759642646</v>
      </c>
      <c r="E17" s="1">
        <f>E$9/($K$9-$J$9-$I$9-$H$9)*-$H$17</f>
        <v>0</v>
      </c>
      <c r="G17" s="1">
        <f>G$9/($K$9-$J$9-$I$9-$H$9)*-$H$17</f>
        <v>296195.35303071403</v>
      </c>
      <c r="H17" s="1">
        <f>-H15</f>
        <v>-2028248.3376299366</v>
      </c>
      <c r="K17" s="1">
        <v>0</v>
      </c>
    </row>
    <row r="18" spans="1:11" x14ac:dyDescent="0.2">
      <c r="A18" t="s">
        <v>4</v>
      </c>
      <c r="B18" s="1">
        <f>+B15+B17</f>
        <v>12302475.509683415</v>
      </c>
      <c r="C18" s="1">
        <f>+C15+C17</f>
        <v>0</v>
      </c>
      <c r="D18" s="1">
        <f>+D15+D17</f>
        <v>2044507.5139366197</v>
      </c>
      <c r="E18" s="1">
        <f>+E15+E17</f>
        <v>0</v>
      </c>
      <c r="G18" s="1">
        <f>+G15+G17</f>
        <v>2453452.4863799624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16800435.509999998</v>
      </c>
    </row>
    <row r="20" spans="1:11" x14ac:dyDescent="0.2">
      <c r="A20" t="s">
        <v>7</v>
      </c>
      <c r="B20" s="1">
        <f>B$9/($K$9-$J$9-$I$9-$H$9-$G$9)*-$G$20</f>
        <v>2103824.8305005278</v>
      </c>
      <c r="C20" s="1">
        <f>C$9/($K$9-$J$9-$I$9-$H$9-$G$9)*-$G$20</f>
        <v>0</v>
      </c>
      <c r="D20" s="1">
        <f>D$9/($K$9-$J$9-$I$9-$H$9-$G$9)*-$G$20</f>
        <v>349627.65587943449</v>
      </c>
      <c r="E20" s="1">
        <f>E$9/($K$9-$J$9-$I$9-$H$9-$G$9)*-$G$20</f>
        <v>0</v>
      </c>
      <c r="G20" s="1">
        <f>-G18</f>
        <v>-2453452.4863799624</v>
      </c>
      <c r="K20" s="1">
        <f>SUM(B20:J20)</f>
        <v>0</v>
      </c>
    </row>
    <row r="22" spans="1:11" x14ac:dyDescent="0.2">
      <c r="A22" t="s">
        <v>8</v>
      </c>
      <c r="B22" s="1">
        <f>+B20+B18</f>
        <v>14406300.340183944</v>
      </c>
      <c r="C22" s="1">
        <f t="shared" ref="C22:K22" si="3">+C20+C18</f>
        <v>0</v>
      </c>
      <c r="D22" s="1">
        <f t="shared" si="3"/>
        <v>2394135.1698160544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16800435.509999998</v>
      </c>
    </row>
    <row r="27" spans="1:11" x14ac:dyDescent="0.2">
      <c r="A27" t="s">
        <v>9</v>
      </c>
      <c r="B27" s="1">
        <f>+B9</f>
        <v>7734177.8499999996</v>
      </c>
    </row>
    <row r="28" spans="1:11" x14ac:dyDescent="0.2">
      <c r="A28" t="s">
        <v>10</v>
      </c>
      <c r="B28" s="1">
        <f>+B22-B27</f>
        <v>6672122.4901839439</v>
      </c>
    </row>
    <row r="29" spans="1:11" x14ac:dyDescent="0.2">
      <c r="A29" s="35" t="s">
        <v>114</v>
      </c>
      <c r="B29" s="1">
        <v>1530</v>
      </c>
    </row>
    <row r="30" spans="1:11" x14ac:dyDescent="0.2">
      <c r="A30" t="s">
        <v>11</v>
      </c>
      <c r="B30" s="1">
        <f>+B28/B29</f>
        <v>4360.8643726692444</v>
      </c>
    </row>
  </sheetData>
  <phoneticPr fontId="0" type="noConversion"/>
  <pageMargins left="0.46" right="0.55000000000000004" top="0.59" bottom="0.57999999999999996" header="0.5" footer="0.5"/>
  <pageSetup orientation="landscape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0"/>
  <sheetViews>
    <sheetView zoomScale="90" zoomScaleNormal="9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96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Table'!B10</f>
        <v>23893021.800000001</v>
      </c>
      <c r="C9" s="1">
        <f>'Master Expend Table'!C10</f>
        <v>276314.31</v>
      </c>
      <c r="D9" s="1">
        <f>'Master Expend Table'!D10</f>
        <v>458827.83</v>
      </c>
      <c r="E9" s="1">
        <f>'Master Expend Table'!E10</f>
        <v>4098577.72</v>
      </c>
      <c r="G9" s="1">
        <f>'Master Expend Table'!G10</f>
        <v>7941729</v>
      </c>
      <c r="H9" s="1">
        <f>'Master Expend Table'!H10</f>
        <v>5988137.21</v>
      </c>
      <c r="I9" s="1">
        <f>'Master Expend Table'!I10</f>
        <v>10284389.969999999</v>
      </c>
      <c r="J9" s="1">
        <f>'Master Expend Table'!J10</f>
        <v>6885524.3499999996</v>
      </c>
      <c r="K9" s="1">
        <f>SUM(B9:J9)</f>
        <v>59826522.189999998</v>
      </c>
    </row>
    <row r="11" spans="1:11" x14ac:dyDescent="0.2">
      <c r="A11" t="s">
        <v>3</v>
      </c>
      <c r="B11" s="1">
        <f>(B9/($K9-$J9))*-$J$11</f>
        <v>3107534.6161057707</v>
      </c>
      <c r="C11" s="1">
        <f t="shared" ref="C11:I11" si="0">(C9/($K9-$J9))*-$J$11</f>
        <v>35937.53399791319</v>
      </c>
      <c r="D11" s="1">
        <f t="shared" si="0"/>
        <v>59675.305053197328</v>
      </c>
      <c r="E11" s="1">
        <f t="shared" si="0"/>
        <v>533062.42501732719</v>
      </c>
      <c r="G11" s="1">
        <f t="shared" si="0"/>
        <v>1032903.9995782813</v>
      </c>
      <c r="H11" s="1">
        <f t="shared" si="0"/>
        <v>778819.18083990668</v>
      </c>
      <c r="I11" s="1">
        <f t="shared" si="0"/>
        <v>1337591.2894076037</v>
      </c>
      <c r="J11" s="1">
        <f>-J9</f>
        <v>-6885524.3499999996</v>
      </c>
      <c r="K11" s="1">
        <v>0</v>
      </c>
    </row>
    <row r="12" spans="1:11" x14ac:dyDescent="0.2">
      <c r="A12" t="s">
        <v>4</v>
      </c>
      <c r="B12" s="1">
        <f>+B9+B11</f>
        <v>27000556.41610577</v>
      </c>
      <c r="C12" s="1">
        <f t="shared" ref="C12:J12" si="1">+C9+C11</f>
        <v>312251.84399791318</v>
      </c>
      <c r="D12" s="1">
        <f t="shared" si="1"/>
        <v>518503.13505319733</v>
      </c>
      <c r="E12" s="1">
        <f t="shared" si="1"/>
        <v>4631640.1450173277</v>
      </c>
      <c r="G12" s="1">
        <f t="shared" si="1"/>
        <v>8974632.9995782822</v>
      </c>
      <c r="H12" s="1">
        <f t="shared" si="1"/>
        <v>6766956.3908399064</v>
      </c>
      <c r="I12" s="1">
        <f t="shared" si="1"/>
        <v>11621981.259407602</v>
      </c>
      <c r="J12" s="1">
        <f t="shared" si="1"/>
        <v>0</v>
      </c>
      <c r="K12" s="1">
        <f>SUM(B12:J12)</f>
        <v>59826522.189999998</v>
      </c>
    </row>
    <row r="14" spans="1:11" x14ac:dyDescent="0.2">
      <c r="A14" t="s">
        <v>5</v>
      </c>
      <c r="B14" s="1">
        <f>B$9/($K$9-$J$9-$I$9)*-I14</f>
        <v>6509759.3422450759</v>
      </c>
      <c r="C14" s="1">
        <f t="shared" ref="C14:H14" si="2">C$9/($K$9-$J$9-$I$9)*-$I$14</f>
        <v>75283.054440543885</v>
      </c>
      <c r="D14" s="1">
        <f t="shared" si="2"/>
        <v>125009.66925935402</v>
      </c>
      <c r="E14" s="1">
        <f t="shared" si="2"/>
        <v>1116675.6062093209</v>
      </c>
      <c r="G14" s="1">
        <f t="shared" si="2"/>
        <v>2163759.1504364945</v>
      </c>
      <c r="H14" s="1">
        <f t="shared" si="2"/>
        <v>1631494.4368168141</v>
      </c>
      <c r="I14" s="1">
        <f>-I12</f>
        <v>-11621981.259407602</v>
      </c>
      <c r="K14" s="1">
        <v>0</v>
      </c>
    </row>
    <row r="15" spans="1:11" x14ac:dyDescent="0.2">
      <c r="A15" t="s">
        <v>4</v>
      </c>
      <c r="B15" s="1">
        <f>+B12+B14</f>
        <v>33510315.758350845</v>
      </c>
      <c r="C15" s="1">
        <f>+C12+C14</f>
        <v>387534.89843845705</v>
      </c>
      <c r="D15" s="1">
        <f>+D12+D14</f>
        <v>643512.80431255139</v>
      </c>
      <c r="E15" s="1">
        <f>+E12+E14</f>
        <v>5748315.7512266487</v>
      </c>
      <c r="G15" s="1">
        <f>+G12+G14</f>
        <v>11138392.150014777</v>
      </c>
      <c r="H15" s="1">
        <f>+H12+H14</f>
        <v>8398450.8276567198</v>
      </c>
      <c r="I15" s="1">
        <f>+I12+I14</f>
        <v>0</v>
      </c>
      <c r="J15" s="1">
        <f>+J12+J14</f>
        <v>0</v>
      </c>
      <c r="K15" s="1">
        <f>SUM(B15:J15)</f>
        <v>59826522.189999998</v>
      </c>
    </row>
    <row r="17" spans="1:11" x14ac:dyDescent="0.2">
      <c r="A17" t="s">
        <v>6</v>
      </c>
      <c r="B17" s="1">
        <f>B$9/($K$9-$J$9-$I$9-$H$9)*-$H$17</f>
        <v>5472395.3603640711</v>
      </c>
      <c r="C17" s="1">
        <f>C$9/($K$9-$J$9-$I$9-$H$9)*-$H$17</f>
        <v>63286.308475481303</v>
      </c>
      <c r="D17" s="1">
        <f>D$9/($K$9-$J$9-$I$9-$H$9)*-$H$17</f>
        <v>105088.72879770758</v>
      </c>
      <c r="E17" s="1">
        <f>E$9/($K$9-$J$9-$I$9-$H$9)*-$H$17</f>
        <v>938727.54508680664</v>
      </c>
      <c r="G17" s="1">
        <f>G$9/($K$9-$J$9-$I$9-$H$9)*-$H$17</f>
        <v>1818952.8849326542</v>
      </c>
      <c r="H17" s="1">
        <f>-H15</f>
        <v>-8398450.8276567198</v>
      </c>
      <c r="K17" s="1">
        <v>0</v>
      </c>
    </row>
    <row r="18" spans="1:11" x14ac:dyDescent="0.2">
      <c r="A18" t="s">
        <v>4</v>
      </c>
      <c r="B18" s="1">
        <f>+B15+B17</f>
        <v>38982711.118714914</v>
      </c>
      <c r="C18" s="1">
        <f>+C15+C17</f>
        <v>450821.20691393834</v>
      </c>
      <c r="D18" s="1">
        <f>+D15+D17</f>
        <v>748601.53311025898</v>
      </c>
      <c r="E18" s="1">
        <f>+E15+E17</f>
        <v>6687043.2963134553</v>
      </c>
      <c r="G18" s="1">
        <f>+G15+G17</f>
        <v>12957345.034947431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59826522.190000005</v>
      </c>
    </row>
    <row r="20" spans="1:11" x14ac:dyDescent="0.2">
      <c r="A20" t="s">
        <v>7</v>
      </c>
      <c r="B20" s="1">
        <f>B$9/($K$9-$J$9-$I$9-$H$9-$G$9)*-$G$20</f>
        <v>10777070.753596939</v>
      </c>
      <c r="C20" s="1">
        <f>C$9/($K$9-$J$9-$I$9-$H$9-$G$9)*-$G$20</f>
        <v>124632.99510743836</v>
      </c>
      <c r="D20" s="1">
        <f>D$9/($K$9-$J$9-$I$9-$H$9-$G$9)*-$G$20</f>
        <v>206956.65994116108</v>
      </c>
      <c r="E20" s="1">
        <f>E$9/($K$9-$J$9-$I$9-$H$9-$G$9)*-$G$20</f>
        <v>1848684.6263018947</v>
      </c>
      <c r="G20" s="1">
        <f>-G18</f>
        <v>-12957345.034947431</v>
      </c>
      <c r="K20" s="1">
        <f>SUM(B20:J20)</f>
        <v>0</v>
      </c>
    </row>
    <row r="22" spans="1:11" x14ac:dyDescent="0.2">
      <c r="A22" t="s">
        <v>8</v>
      </c>
      <c r="B22" s="1">
        <f>+B20+B18</f>
        <v>49759781.872311853</v>
      </c>
      <c r="C22" s="1">
        <f t="shared" ref="C22:K22" si="3">+C20+C18</f>
        <v>575454.2020213767</v>
      </c>
      <c r="D22" s="1">
        <f t="shared" si="3"/>
        <v>955558.19305142004</v>
      </c>
      <c r="E22" s="1">
        <f t="shared" si="3"/>
        <v>8535727.9226153493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59826522.190000005</v>
      </c>
    </row>
    <row r="27" spans="1:11" x14ac:dyDescent="0.2">
      <c r="A27" t="s">
        <v>9</v>
      </c>
      <c r="B27" s="1">
        <f>+B9</f>
        <v>23893021.800000001</v>
      </c>
    </row>
    <row r="28" spans="1:11" x14ac:dyDescent="0.2">
      <c r="A28" t="s">
        <v>10</v>
      </c>
      <c r="B28" s="1">
        <f>+B22-B27</f>
        <v>25866760.072311852</v>
      </c>
    </row>
    <row r="29" spans="1:11" x14ac:dyDescent="0.2">
      <c r="A29" s="35" t="s">
        <v>114</v>
      </c>
      <c r="B29" s="1">
        <f>'BEMIDJI SU'!B29+'NTC-Bemidji'!B29</f>
        <v>5019</v>
      </c>
    </row>
    <row r="30" spans="1:11" x14ac:dyDescent="0.2">
      <c r="A30" t="s">
        <v>11</v>
      </c>
      <c r="B30" s="1">
        <f>+B28/B29</f>
        <v>5153.7676972129611</v>
      </c>
    </row>
  </sheetData>
  <phoneticPr fontId="11" type="noConversion"/>
  <pageMargins left="0.66" right="0.35" top="0.89" bottom="0.69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0"/>
  <sheetViews>
    <sheetView topLeftCell="A7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Table'!B11</f>
        <v>19224394.440000001</v>
      </c>
      <c r="C9" s="1">
        <f>'Master Expend Table'!C11</f>
        <v>240255.2</v>
      </c>
      <c r="D9" s="1">
        <f>'Master Expend Table'!D11</f>
        <v>203109.2</v>
      </c>
      <c r="E9" s="1">
        <f>'Master Expend Table'!E11</f>
        <v>4098577.72</v>
      </c>
      <c r="G9" s="1">
        <f>'Master Expend Table'!G11</f>
        <v>7363763.1900000004</v>
      </c>
      <c r="H9" s="1">
        <f>'Master Expend Table'!H11</f>
        <v>4322714.42</v>
      </c>
      <c r="I9" s="1">
        <f>'Master Expend Table'!I11</f>
        <v>8917048.0399999991</v>
      </c>
      <c r="J9" s="1">
        <f>'Master Expend Table'!J11</f>
        <v>6092136.4299999997</v>
      </c>
      <c r="K9" s="1">
        <f>SUM(B9:J9)</f>
        <v>50461998.640000001</v>
      </c>
    </row>
    <row r="11" spans="1:11" x14ac:dyDescent="0.2">
      <c r="A11" t="s">
        <v>3</v>
      </c>
      <c r="B11" s="1">
        <f>(B9/($K9-$J9))*-$J$11</f>
        <v>2639576.2321348316</v>
      </c>
      <c r="C11" s="1">
        <f t="shared" ref="C11:I11" si="0">(C9/($K9-$J9))*-$J$11</f>
        <v>32987.874731038879</v>
      </c>
      <c r="D11" s="1">
        <f t="shared" si="0"/>
        <v>27887.599711979274</v>
      </c>
      <c r="E11" s="1">
        <f t="shared" si="0"/>
        <v>562748.97859770339</v>
      </c>
      <c r="G11" s="1">
        <f t="shared" si="0"/>
        <v>1011070.3021651779</v>
      </c>
      <c r="H11" s="1">
        <f t="shared" si="0"/>
        <v>593523.72720763332</v>
      </c>
      <c r="I11" s="1">
        <f t="shared" si="0"/>
        <v>1224341.7154516352</v>
      </c>
      <c r="J11" s="1">
        <f>-J9</f>
        <v>-6092136.4299999997</v>
      </c>
      <c r="K11" s="1">
        <v>0</v>
      </c>
    </row>
    <row r="12" spans="1:11" x14ac:dyDescent="0.2">
      <c r="A12" t="s">
        <v>4</v>
      </c>
      <c r="B12" s="1">
        <f>+B9+B11</f>
        <v>21863970.672134832</v>
      </c>
      <c r="C12" s="1">
        <f t="shared" ref="C12:J12" si="1">+C9+C11</f>
        <v>273243.07473103888</v>
      </c>
      <c r="D12" s="1">
        <f t="shared" si="1"/>
        <v>230996.79971197929</v>
      </c>
      <c r="E12" s="1">
        <f t="shared" si="1"/>
        <v>4661326.6985977031</v>
      </c>
      <c r="G12" s="1">
        <f t="shared" si="1"/>
        <v>8374833.4921651781</v>
      </c>
      <c r="H12" s="1">
        <f t="shared" si="1"/>
        <v>4916238.1472076336</v>
      </c>
      <c r="I12" s="1">
        <f t="shared" si="1"/>
        <v>10141389.755451635</v>
      </c>
      <c r="J12" s="1">
        <f t="shared" si="1"/>
        <v>0</v>
      </c>
      <c r="K12" s="1">
        <f>SUM(B12:J12)</f>
        <v>50461998.640000001</v>
      </c>
    </row>
    <row r="14" spans="1:11" x14ac:dyDescent="0.2">
      <c r="A14" t="s">
        <v>5</v>
      </c>
      <c r="B14" s="1">
        <f>B$9/($K$9-$J$9-$I$9)*-I14</f>
        <v>5499198.904033782</v>
      </c>
      <c r="C14" s="1">
        <f t="shared" ref="C14:H14" si="2">C$9/($K$9-$J$9-$I$9)*-$I$14</f>
        <v>68725.760733424555</v>
      </c>
      <c r="D14" s="1">
        <f t="shared" si="2"/>
        <v>58100.029809790896</v>
      </c>
      <c r="E14" s="1">
        <f t="shared" si="2"/>
        <v>1172411.1350433403</v>
      </c>
      <c r="G14" s="1">
        <f t="shared" si="2"/>
        <v>2106427.7780191195</v>
      </c>
      <c r="H14" s="1">
        <f t="shared" si="2"/>
        <v>1236526.1478121767</v>
      </c>
      <c r="I14" s="1">
        <f>-I12</f>
        <v>-10141389.755451635</v>
      </c>
      <c r="K14" s="1">
        <v>0</v>
      </c>
    </row>
    <row r="15" spans="1:11" x14ac:dyDescent="0.2">
      <c r="A15" t="s">
        <v>4</v>
      </c>
      <c r="B15" s="1">
        <f>+B12+B14</f>
        <v>27363169.576168612</v>
      </c>
      <c r="C15" s="1">
        <f>+C12+C14</f>
        <v>341968.83546446345</v>
      </c>
      <c r="D15" s="1">
        <f>+D12+D14</f>
        <v>289096.82952177018</v>
      </c>
      <c r="E15" s="1">
        <f>+E12+E14</f>
        <v>5833737.8336410429</v>
      </c>
      <c r="G15" s="1">
        <f>+G12+G14</f>
        <v>10481261.270184297</v>
      </c>
      <c r="H15" s="1">
        <f>+H12+H14</f>
        <v>6152764.2950198101</v>
      </c>
      <c r="I15" s="1">
        <f>+I12+I14</f>
        <v>0</v>
      </c>
      <c r="J15" s="1">
        <f>+J12+J14</f>
        <v>0</v>
      </c>
      <c r="K15" s="1">
        <f>SUM(B15:J15)</f>
        <v>50461998.639999993</v>
      </c>
    </row>
    <row r="17" spans="1:11" x14ac:dyDescent="0.2">
      <c r="A17" t="s">
        <v>6</v>
      </c>
      <c r="B17" s="1">
        <f>B$9/($K$9-$J$9-$I$9-$H$9)*-$H$17</f>
        <v>3799639.855115124</v>
      </c>
      <c r="C17" s="1">
        <f>C$9/($K$9-$J$9-$I$9-$H$9)*-$H$17</f>
        <v>47485.669115237688</v>
      </c>
      <c r="D17" s="1">
        <f>D$9/($K$9-$J$9-$I$9-$H$9)*-$H$17</f>
        <v>40143.881445482286</v>
      </c>
      <c r="E17" s="1">
        <f>E$9/($K$9-$J$9-$I$9-$H$9)*-$H$17</f>
        <v>810070.73085204954</v>
      </c>
      <c r="G17" s="1">
        <f>G$9/($K$9-$J$9-$I$9-$H$9)*-$H$17</f>
        <v>1455424.158491917</v>
      </c>
      <c r="H17" s="1">
        <f>-H15</f>
        <v>-6152764.2950198101</v>
      </c>
      <c r="K17" s="1">
        <v>0</v>
      </c>
    </row>
    <row r="18" spans="1:11" x14ac:dyDescent="0.2">
      <c r="A18" t="s">
        <v>4</v>
      </c>
      <c r="B18" s="1">
        <f>+B15+B17</f>
        <v>31162809.431283735</v>
      </c>
      <c r="C18" s="1">
        <f>+C15+C17</f>
        <v>389454.50457970111</v>
      </c>
      <c r="D18" s="1">
        <f>+D15+D17</f>
        <v>329240.7109672525</v>
      </c>
      <c r="E18" s="1">
        <f>+E15+E17</f>
        <v>6643808.5644930927</v>
      </c>
      <c r="G18" s="1">
        <f>+G15+G17</f>
        <v>11936685.428676214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50461998.640000001</v>
      </c>
    </row>
    <row r="20" spans="1:11" x14ac:dyDescent="0.2">
      <c r="A20" t="s">
        <v>7</v>
      </c>
      <c r="B20" s="1">
        <f>B$9/($K$9-$J$9-$I$9-$H$9-$G$9)*-$G$20</f>
        <v>9655486.8020042907</v>
      </c>
      <c r="C20" s="1">
        <f>C$9/($K$9-$J$9-$I$9-$H$9-$G$9)*-$G$20</f>
        <v>120668.60779167934</v>
      </c>
      <c r="D20" s="1">
        <f>D$9/($K$9-$J$9-$I$9-$H$9-$G$9)*-$G$20</f>
        <v>102011.96225381078</v>
      </c>
      <c r="E20" s="1">
        <f>E$9/($K$9-$J$9-$I$9-$H$9-$G$9)*-$G$20</f>
        <v>2058518.0566264347</v>
      </c>
      <c r="G20" s="1">
        <f>-G18</f>
        <v>-11936685.428676214</v>
      </c>
      <c r="K20" s="1">
        <f>SUM(B20:J20)</f>
        <v>0</v>
      </c>
    </row>
    <row r="22" spans="1:11" x14ac:dyDescent="0.2">
      <c r="A22" t="s">
        <v>8</v>
      </c>
      <c r="B22" s="1">
        <f>+B20+B18</f>
        <v>40818296.233288027</v>
      </c>
      <c r="C22" s="1">
        <f t="shared" ref="C22:K22" si="3">+C20+C18</f>
        <v>510123.11237138044</v>
      </c>
      <c r="D22" s="1">
        <f t="shared" si="3"/>
        <v>431252.67322106328</v>
      </c>
      <c r="E22" s="1">
        <f t="shared" si="3"/>
        <v>8702326.6211195271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50461998.640000001</v>
      </c>
    </row>
    <row r="27" spans="1:11" x14ac:dyDescent="0.2">
      <c r="A27" t="s">
        <v>9</v>
      </c>
      <c r="B27" s="1">
        <f>+B9</f>
        <v>19224394.440000001</v>
      </c>
    </row>
    <row r="28" spans="1:11" x14ac:dyDescent="0.2">
      <c r="A28" t="s">
        <v>10</v>
      </c>
      <c r="B28" s="1">
        <f>+B22-B27</f>
        <v>21593901.793288026</v>
      </c>
    </row>
    <row r="29" spans="1:11" x14ac:dyDescent="0.2">
      <c r="A29" s="35" t="s">
        <v>114</v>
      </c>
      <c r="B29" s="1">
        <v>4296</v>
      </c>
    </row>
    <row r="30" spans="1:11" x14ac:dyDescent="0.2">
      <c r="A30" t="s">
        <v>11</v>
      </c>
      <c r="B30" s="1">
        <f>+B28/B29</f>
        <v>5026.513452813786</v>
      </c>
    </row>
  </sheetData>
  <phoneticPr fontId="0" type="noConversion"/>
  <pageMargins left="0.52" right="0.55000000000000004" top="1" bottom="0.55000000000000004" header="0.5" footer="0.5"/>
  <pageSetup orientation="landscape" horizontalDpi="4294967294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0"/>
  <sheetViews>
    <sheetView zoomScale="80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85546875" style="1" customWidth="1"/>
    <col min="8" max="8" width="11.42578125" style="1" customWidth="1"/>
    <col min="9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COLLEGES AND UNIVERSITIES - F.Y. 2014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95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Table'!B12</f>
        <v>4668627.3600000003</v>
      </c>
      <c r="C9" s="1">
        <f>'Master Expend Table'!C12</f>
        <v>36059.11</v>
      </c>
      <c r="D9" s="1">
        <f>'Master Expend Table'!D12</f>
        <v>255718.63</v>
      </c>
      <c r="E9" s="1">
        <f>'Master Expend Table'!E12</f>
        <v>0</v>
      </c>
      <c r="G9" s="1">
        <f>'Master Expend Table'!G12</f>
        <v>577965.81000000006</v>
      </c>
      <c r="H9" s="1">
        <f>'Master Expend Table'!H12</f>
        <v>1665422.79</v>
      </c>
      <c r="I9" s="1">
        <f>'Master Expend Table'!I12</f>
        <v>1367341.93</v>
      </c>
      <c r="J9" s="1">
        <f>'Master Expend Table'!J12</f>
        <v>793387.92</v>
      </c>
      <c r="K9" s="1">
        <f>SUM(B9:J9)</f>
        <v>9364523.5500000007</v>
      </c>
    </row>
    <row r="11" spans="1:11" x14ac:dyDescent="0.2">
      <c r="A11" t="s">
        <v>3</v>
      </c>
      <c r="B11" s="1">
        <f>(B9/($K9-$J9))*-$J$11</f>
        <v>432151.90032006195</v>
      </c>
      <c r="C11" s="1">
        <f t="shared" ref="C11:I11" si="0">(C9/($K9-$J9))*-$J$11</f>
        <v>3337.8146741508513</v>
      </c>
      <c r="D11" s="1">
        <f t="shared" si="0"/>
        <v>23670.61737429881</v>
      </c>
      <c r="E11" s="1">
        <f t="shared" si="0"/>
        <v>0</v>
      </c>
      <c r="G11" s="1">
        <f t="shared" si="0"/>
        <v>53499.455803969722</v>
      </c>
      <c r="H11" s="1">
        <f t="shared" si="0"/>
        <v>154160.00636530551</v>
      </c>
      <c r="I11" s="1">
        <f t="shared" si="0"/>
        <v>126568.12546221317</v>
      </c>
      <c r="J11" s="1">
        <f>-J9</f>
        <v>-793387.92</v>
      </c>
      <c r="K11" s="1">
        <v>0</v>
      </c>
    </row>
    <row r="12" spans="1:11" x14ac:dyDescent="0.2">
      <c r="A12" t="s">
        <v>4</v>
      </c>
      <c r="B12" s="1">
        <f>+B9+B11</f>
        <v>5100779.2603200618</v>
      </c>
      <c r="C12" s="1">
        <f t="shared" ref="C12:J12" si="1">+C9+C11</f>
        <v>39396.924674150854</v>
      </c>
      <c r="D12" s="1">
        <f t="shared" si="1"/>
        <v>279389.24737429881</v>
      </c>
      <c r="E12" s="1">
        <f t="shared" si="1"/>
        <v>0</v>
      </c>
      <c r="G12" s="1">
        <f t="shared" si="1"/>
        <v>631465.26580396981</v>
      </c>
      <c r="H12" s="1">
        <f t="shared" si="1"/>
        <v>1819582.7963653055</v>
      </c>
      <c r="I12" s="1">
        <f t="shared" si="1"/>
        <v>1493910.055462213</v>
      </c>
      <c r="J12" s="1">
        <f t="shared" si="1"/>
        <v>0</v>
      </c>
      <c r="K12" s="1">
        <f>SUM(B12:J12)</f>
        <v>9364523.5499999989</v>
      </c>
    </row>
    <row r="14" spans="1:11" x14ac:dyDescent="0.2">
      <c r="A14" t="s">
        <v>5</v>
      </c>
      <c r="B14" s="1">
        <f>B$9/($K$9-$J$9-$I$9)*-I14</f>
        <v>968171.72295064537</v>
      </c>
      <c r="C14" s="1">
        <f t="shared" ref="C14:H14" si="2">C$9/($K$9-$J$9-$I$9)*-$I$14</f>
        <v>7477.8747509132627</v>
      </c>
      <c r="D14" s="1">
        <f t="shared" si="2"/>
        <v>53030.479305094632</v>
      </c>
      <c r="E14" s="1">
        <f t="shared" si="2"/>
        <v>0</v>
      </c>
      <c r="G14" s="1">
        <f t="shared" si="2"/>
        <v>119857.53218784748</v>
      </c>
      <c r="H14" s="1">
        <f t="shared" si="2"/>
        <v>345372.44626771216</v>
      </c>
      <c r="I14" s="1">
        <f>-I12</f>
        <v>-1493910.055462213</v>
      </c>
      <c r="K14" s="1">
        <v>0</v>
      </c>
    </row>
    <row r="15" spans="1:11" x14ac:dyDescent="0.2">
      <c r="A15" t="s">
        <v>4</v>
      </c>
      <c r="B15" s="1">
        <f>+B12+B14</f>
        <v>6068950.9832707075</v>
      </c>
      <c r="C15" s="1">
        <f>+C12+C14</f>
        <v>46874.79942506412</v>
      </c>
      <c r="D15" s="1">
        <f>+D12+D14</f>
        <v>332419.72667939344</v>
      </c>
      <c r="E15" s="1">
        <f>+E12+E14</f>
        <v>0</v>
      </c>
      <c r="G15" s="1">
        <f>+G12+G14</f>
        <v>751322.79799181735</v>
      </c>
      <c r="H15" s="1">
        <f>+H12+H14</f>
        <v>2164955.2426330177</v>
      </c>
      <c r="I15" s="1">
        <f>+I12+I14</f>
        <v>0</v>
      </c>
      <c r="J15" s="1">
        <f>+J12+J14</f>
        <v>0</v>
      </c>
      <c r="K15" s="1">
        <f>SUM(B15:J15)</f>
        <v>9364523.5500000007</v>
      </c>
    </row>
    <row r="17" spans="1:11" x14ac:dyDescent="0.2">
      <c r="A17" t="s">
        <v>6</v>
      </c>
      <c r="B17" s="1">
        <f>B$9/($K$9-$J$9-$I$9-$H$9)*-$H$17</f>
        <v>1824971.5382337843</v>
      </c>
      <c r="C17" s="1">
        <f>C$9/($K$9-$J$9-$I$9-$H$9)*-$H$17</f>
        <v>14095.545514697329</v>
      </c>
      <c r="D17" s="1">
        <f>D$9/($K$9-$J$9-$I$9-$H$9)*-$H$17</f>
        <v>99960.691989376486</v>
      </c>
      <c r="E17" s="1">
        <f>E$9/($K$9-$J$9-$I$9-$H$9)*-$H$17</f>
        <v>0</v>
      </c>
      <c r="G17" s="1">
        <f>G$9/($K$9-$J$9-$I$9-$H$9)*-$H$17</f>
        <v>225927.46689515933</v>
      </c>
      <c r="H17" s="1">
        <f>-H15</f>
        <v>-2164955.2426330177</v>
      </c>
      <c r="K17" s="1">
        <v>0</v>
      </c>
    </row>
    <row r="18" spans="1:11" x14ac:dyDescent="0.2">
      <c r="A18" t="s">
        <v>4</v>
      </c>
      <c r="B18" s="1">
        <f>+B15+B17</f>
        <v>7893922.5215044916</v>
      </c>
      <c r="C18" s="1">
        <f>+C15+C17</f>
        <v>60970.344939761446</v>
      </c>
      <c r="D18" s="1">
        <f>+D15+D17</f>
        <v>432380.41866876994</v>
      </c>
      <c r="E18" s="1">
        <f>+E15+E17</f>
        <v>0</v>
      </c>
      <c r="G18" s="1">
        <f>+G15+G17</f>
        <v>977250.26488697669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9364523.5500000007</v>
      </c>
    </row>
    <row r="20" spans="1:11" x14ac:dyDescent="0.2">
      <c r="A20" t="s">
        <v>7</v>
      </c>
      <c r="B20" s="1">
        <f>B$9/($K$9-$J$9-$I$9-$H$9-$G$9)*-$G$20</f>
        <v>919767.08197049983</v>
      </c>
      <c r="C20" s="1">
        <f>C$9/($K$9-$J$9-$I$9-$H$9-$G$9)*-$G$20</f>
        <v>7104.0114846847127</v>
      </c>
      <c r="D20" s="1">
        <f>D$9/($K$9-$J$9-$I$9-$H$9-$G$9)*-$G$20</f>
        <v>50379.171431791874</v>
      </c>
      <c r="E20" s="1">
        <f>E$9/($K$9-$J$9-$I$9-$H$9-$G$9)*-$G$20</f>
        <v>0</v>
      </c>
      <c r="G20" s="1">
        <f>-G18</f>
        <v>-977250.26488697669</v>
      </c>
      <c r="K20" s="1">
        <f>SUM(B20:J20)</f>
        <v>0</v>
      </c>
    </row>
    <row r="22" spans="1:11" x14ac:dyDescent="0.2">
      <c r="A22" t="s">
        <v>8</v>
      </c>
      <c r="B22" s="1">
        <f>+B20+B18</f>
        <v>8813689.6034749914</v>
      </c>
      <c r="C22" s="1">
        <f t="shared" ref="C22:K22" si="3">+C20+C18</f>
        <v>68074.35642444616</v>
      </c>
      <c r="D22" s="1">
        <f t="shared" si="3"/>
        <v>482759.59010056179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9364523.5500000007</v>
      </c>
    </row>
    <row r="27" spans="1:11" x14ac:dyDescent="0.2">
      <c r="A27" t="s">
        <v>9</v>
      </c>
      <c r="B27" s="1">
        <f>+B9</f>
        <v>4668627.3600000003</v>
      </c>
    </row>
    <row r="28" spans="1:11" x14ac:dyDescent="0.2">
      <c r="A28" t="s">
        <v>10</v>
      </c>
      <c r="B28" s="1">
        <f>+B22-B27</f>
        <v>4145062.2434749911</v>
      </c>
    </row>
    <row r="29" spans="1:11" x14ac:dyDescent="0.2">
      <c r="A29" s="35" t="s">
        <v>114</v>
      </c>
      <c r="B29" s="1">
        <v>723</v>
      </c>
    </row>
    <row r="30" spans="1:11" x14ac:dyDescent="0.2">
      <c r="A30" t="s">
        <v>11</v>
      </c>
      <c r="B30" s="1">
        <f>+B28/B29</f>
        <v>5733.1427987205961</v>
      </c>
    </row>
  </sheetData>
  <phoneticPr fontId="11" type="noConversion"/>
  <pageMargins left="0.75" right="0.75" top="1" bottom="1" header="0.5" footer="0.5"/>
  <pageSetup scale="9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6F27C931F384B99A051B55B84B537" ma:contentTypeVersion="6" ma:contentTypeDescription="Create a new document." ma:contentTypeScope="" ma:versionID="d933ee059f6c79647d699dfc27346ad2">
  <xsd:schema xmlns:xsd="http://www.w3.org/2001/XMLSchema" xmlns:xs="http://www.w3.org/2001/XMLSchema" xmlns:p="http://schemas.microsoft.com/office/2006/metadata/properties" xmlns:ns2="aa5e197e-bee5-437e-9882-da1c1f2d97f8" targetNamespace="http://schemas.microsoft.com/office/2006/metadata/properties" ma:root="true" ma:fieldsID="a978ea119e0e873870cb029d8551ad99" ns2:_="">
    <xsd:import namespace="aa5e197e-bee5-437e-9882-da1c1f2d9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e197e-bee5-437e-9882-da1c1f2d9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6417F6-A1F8-4B3F-9182-AF38A286B94A}"/>
</file>

<file path=customXml/itemProps2.xml><?xml version="1.0" encoding="utf-8"?>
<ds:datastoreItem xmlns:ds="http://schemas.openxmlformats.org/officeDocument/2006/customXml" ds:itemID="{E8B0FAA5-EA9D-455C-89ED-1FA9DFF82C41}"/>
</file>

<file path=customXml/itemProps3.xml><?xml version="1.0" encoding="utf-8"?>
<ds:datastoreItem xmlns:ds="http://schemas.openxmlformats.org/officeDocument/2006/customXml" ds:itemID="{EA3AAEE4-81D7-42DD-B76D-43B7B5FF39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Master Expend Table</vt:lpstr>
      <vt:lpstr>System</vt:lpstr>
      <vt:lpstr>ALEX TC</vt:lpstr>
      <vt:lpstr>ARCCATC</vt:lpstr>
      <vt:lpstr>ANOKARAM CC</vt:lpstr>
      <vt:lpstr>ANOKA TC</vt:lpstr>
      <vt:lpstr>BSU &amp; TC</vt:lpstr>
      <vt:lpstr>BEMIDJI SU</vt:lpstr>
      <vt:lpstr>NTC-Bemidji</vt:lpstr>
      <vt:lpstr>CENTRAL LAKES</vt:lpstr>
      <vt:lpstr>CENTURY</vt:lpstr>
      <vt:lpstr>DAKCTY TC</vt:lpstr>
      <vt:lpstr>FDL CC</vt:lpstr>
      <vt:lpstr>HENN TC</vt:lpstr>
      <vt:lpstr>INVER HILLS</vt:lpstr>
      <vt:lpstr>LAKE SUPERIOR</vt:lpstr>
      <vt:lpstr>METRO SU</vt:lpstr>
      <vt:lpstr>MPLS COLLEGE</vt:lpstr>
      <vt:lpstr>MN SC-SOUTHEAST</vt:lpstr>
      <vt:lpstr>MINNESOTA STATE COLLEGE</vt:lpstr>
      <vt:lpstr>MSU MOORHEAD</vt:lpstr>
      <vt:lpstr>MSU MANKATO</vt:lpstr>
      <vt:lpstr>MN WEST</vt:lpstr>
      <vt:lpstr>NORMANDALE</vt:lpstr>
      <vt:lpstr>NO HENN CC</vt:lpstr>
      <vt:lpstr>NHED</vt:lpstr>
      <vt:lpstr>HIBBING</vt:lpstr>
      <vt:lpstr>ITASCA CC</vt:lpstr>
      <vt:lpstr>MESABI RANGE</vt:lpstr>
      <vt:lpstr>RAINY RIVER</vt:lpstr>
      <vt:lpstr>VERMILION</vt:lpstr>
      <vt:lpstr>NORTHLAND</vt:lpstr>
      <vt:lpstr>PINE TC</vt:lpstr>
      <vt:lpstr>RIDGEWATER</vt:lpstr>
      <vt:lpstr>RIVERLAND</vt:lpstr>
      <vt:lpstr>ROCHESTER</vt:lpstr>
      <vt:lpstr>SAINT PAUL</vt:lpstr>
      <vt:lpstr>SOUTH CENTRAL</vt:lpstr>
      <vt:lpstr>SOUTHWEST MN SU</vt:lpstr>
      <vt:lpstr>ST CLOUD SU</vt:lpstr>
      <vt:lpstr>ST CLOUD TCC</vt:lpstr>
      <vt:lpstr>WINONA SU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Kedrowski</dc:creator>
  <cp:lastModifiedBy>Susan Anderson</cp:lastModifiedBy>
  <cp:lastPrinted>2014-04-15T15:36:16Z</cp:lastPrinted>
  <dcterms:created xsi:type="dcterms:W3CDTF">2000-03-31T14:58:40Z</dcterms:created>
  <dcterms:modified xsi:type="dcterms:W3CDTF">2015-04-01T15:54:50Z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0x010100D4F6F27C931F384B99A051B55B84B537</vt:lpwstr>
  </property>
</Properties>
</file>